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ThisWorkbook" defaultThemeVersion="124226"/>
  <workbookProtection workbookAlgorithmName="SHA-512" workbookHashValue="K5qS4PD3M4CupTDq5VpM27rRHoleeDTRhzuWl4Eqvg7h9NLbHbKGDYWpoUaNWRAPrUicWuAOjKH/JXhniJH5Wg==" workbookSaltValue="Qi/8gqIDrsmFa2vmQfpOkQ==" workbookSpinCount="100000" lockStructure="1"/>
  <bookViews>
    <workbookView xWindow="-120" yWindow="-120" windowWidth="29040" windowHeight="15720" tabRatio="847" firstSheet="1" activeTab="1"/>
  </bookViews>
  <sheets>
    <sheet name="Datenquelle" sheetId="13" state="hidden" r:id="rId1"/>
    <sheet name="Basisdaten" sheetId="11" r:id="rId2"/>
    <sheet name="HilfstabelleSD" sheetId="21" state="hidden" r:id="rId3"/>
    <sheet name="HilfstabelleB" sheetId="46" state="hidden" r:id="rId4"/>
    <sheet name="HilfstabelleB2" sheetId="51" state="hidden" r:id="rId5"/>
    <sheet name="Studien" sheetId="52" r:id="rId6"/>
    <sheet name="HilfstabelleStudien" sheetId="53" state="hidden" r:id="rId7"/>
    <sheet name="Operateure" sheetId="54" r:id="rId8"/>
    <sheet name="Kennzahlenbogen_(KB)" sheetId="2" r:id="rId9"/>
    <sheet name="Berechnung1" sheetId="24" state="hidden" r:id="rId10"/>
    <sheet name="HilfstabelleKB" sheetId="45" state="hidden" r:id="rId11"/>
    <sheet name="Datendefizite_KB" sheetId="44" r:id="rId12"/>
    <sheet name="Hilfstabelle DatendefKB" sheetId="49" state="hidden" r:id="rId13"/>
    <sheet name="Matrix" sheetId="12" r:id="rId14"/>
    <sheet name="HilfstabelleM" sheetId="20" state="hidden" r:id="rId15"/>
    <sheet name="Berechnung3" sheetId="47" state="hidden" r:id="rId16"/>
    <sheet name="Berechnung2" sheetId="31" state="hidden" r:id="rId17"/>
    <sheet name="Datendefizite_Matrix" sheetId="29" r:id="rId18"/>
    <sheet name="HilfstabelleDM" sheetId="48" state="hidden" r:id="rId19"/>
  </sheets>
  <externalReferences>
    <externalReference r:id="rId20"/>
  </externalReferences>
  <definedNames>
    <definedName name="_xlnm._FilterDatabase" localSheetId="16" hidden="1">Berechnung2!#REF!</definedName>
    <definedName name="_xlnm._FilterDatabase" localSheetId="0" hidden="1">Datenquelle!$A$68:$F$388</definedName>
    <definedName name="AngabeKKR">Datenquelle!$B$55:$B$59</definedName>
    <definedName name="_xlnm.Print_Area" localSheetId="1">Basisdaten!$A$1:$L$57</definedName>
    <definedName name="_xlnm.Print_Area" localSheetId="11">OFFSET(Datendefizite_KB!$A$1,0,0,SUMPRODUCT((Datendefizite_KB!$A$14:$A$38&lt;&gt;"")+0)+13,11)</definedName>
    <definedName name="_xlnm.Print_Area" localSheetId="8">'Kennzahlenbogen_(KB)'!$A$1:$P$98</definedName>
    <definedName name="_xlnm.Print_Area" localSheetId="13">Matrix!$A$1:$AE$72</definedName>
    <definedName name="_xlnm.Print_Area" localSheetId="7">Operateure!$A$1:$F$24</definedName>
    <definedName name="_xlnm.Print_Area" localSheetId="5">Studien!$A$1:$C$59</definedName>
    <definedName name="_xlnm.Print_Titles" localSheetId="11">Datendefizite_KB!$12:$13</definedName>
    <definedName name="_xlnm.Print_Titles" localSheetId="17">Datendefizite_Matrix!$1:$16</definedName>
    <definedName name="_xlnm.Print_Titles" localSheetId="8">'Kennzahlenbogen_(KB)'!$7:$8</definedName>
    <definedName name="Keine_Zusammenarbeit">Datenquelle!$B$57</definedName>
    <definedName name="myCategory">Datenquelle!$A$28:$S$28</definedName>
    <definedName name="myItem">OFFSET(myItemList,0,0,COUNTA(myItemList),1)</definedName>
    <definedName name="myItemList">INDEX(Datenquelle!$A$29:$S$49,0,MATCH(Datenquelle!$E$66,Datenquelle!$A$28:$S$28,0))</definedName>
    <definedName name="OncoBox">Datenquelle!$B$52:$B$53</definedName>
    <definedName name="Tumordokumentation">Datenquelle!$B$1:$B$23</definedName>
    <definedName name="Zentrum1">Datenquelle!$A$69:$A$388</definedName>
    <definedName name="zentrumsintern___ohne_Krebsregister">Datenquelle!$B$57:$B$62</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53" l="1"/>
  <c r="L13" i="53"/>
  <c r="L14" i="53"/>
  <c r="L15" i="53"/>
  <c r="L17" i="53"/>
  <c r="L20" i="53"/>
  <c r="L21" i="53"/>
  <c r="L22" i="53"/>
  <c r="L28" i="53"/>
  <c r="L33" i="53"/>
  <c r="L34" i="53"/>
  <c r="L37" i="53"/>
  <c r="L41" i="53"/>
  <c r="L48" i="53"/>
  <c r="F37" i="52"/>
  <c r="G37" i="52"/>
  <c r="F38" i="52"/>
  <c r="L30" i="53" s="1"/>
  <c r="G38" i="52"/>
  <c r="H38" i="52"/>
  <c r="B30" i="53" s="1"/>
  <c r="F39" i="52"/>
  <c r="G39" i="52"/>
  <c r="H39" i="52"/>
  <c r="F40" i="52"/>
  <c r="G40" i="52"/>
  <c r="H40" i="52"/>
  <c r="B32" i="53" s="1"/>
  <c r="F41" i="52"/>
  <c r="G41" i="52"/>
  <c r="H41" i="52"/>
  <c r="F42" i="52"/>
  <c r="G42" i="52"/>
  <c r="H42" i="52"/>
  <c r="F43" i="52"/>
  <c r="G43" i="52"/>
  <c r="F44" i="52"/>
  <c r="G44" i="52"/>
  <c r="F45" i="52"/>
  <c r="A37" i="53" s="1"/>
  <c r="G45" i="52"/>
  <c r="H45" i="52"/>
  <c r="F46" i="52"/>
  <c r="G46" i="52"/>
  <c r="F47" i="52"/>
  <c r="G47" i="52"/>
  <c r="H47" i="52"/>
  <c r="F48" i="52"/>
  <c r="G48" i="52"/>
  <c r="F49" i="52"/>
  <c r="G49" i="52"/>
  <c r="H49" i="52"/>
  <c r="F50" i="52"/>
  <c r="G50" i="52"/>
  <c r="F51" i="52"/>
  <c r="L43" i="53" s="1"/>
  <c r="G51" i="52"/>
  <c r="H51" i="52"/>
  <c r="A43" i="53" s="1"/>
  <c r="F52" i="52"/>
  <c r="L44" i="53" s="1"/>
  <c r="G52" i="52"/>
  <c r="A44" i="53" s="1"/>
  <c r="H52" i="52"/>
  <c r="B44" i="53" s="1"/>
  <c r="F53" i="52"/>
  <c r="L45" i="53" s="1"/>
  <c r="G53" i="52"/>
  <c r="B45" i="53" s="1"/>
  <c r="H53" i="52"/>
  <c r="F54" i="52"/>
  <c r="G54" i="52"/>
  <c r="H54" i="52"/>
  <c r="F55" i="52"/>
  <c r="G55" i="52"/>
  <c r="F56" i="52"/>
  <c r="G56" i="52"/>
  <c r="H56" i="52"/>
  <c r="F57" i="52"/>
  <c r="G57" i="52"/>
  <c r="F58" i="52"/>
  <c r="G58" i="52"/>
  <c r="H58" i="52"/>
  <c r="B50" i="53" s="1"/>
  <c r="F59" i="52"/>
  <c r="G59" i="52"/>
  <c r="H59" i="52"/>
  <c r="F11" i="52"/>
  <c r="G11" i="52"/>
  <c r="F12" i="52"/>
  <c r="G12" i="52"/>
  <c r="H12" i="52"/>
  <c r="F13" i="52"/>
  <c r="G13" i="52"/>
  <c r="H13" i="52"/>
  <c r="F14" i="52"/>
  <c r="G14" i="52"/>
  <c r="H14" i="52"/>
  <c r="F15" i="52"/>
  <c r="G15" i="52"/>
  <c r="L7" i="53" s="1"/>
  <c r="H15" i="52"/>
  <c r="F16" i="52"/>
  <c r="G16" i="52"/>
  <c r="H16" i="52"/>
  <c r="F17" i="52"/>
  <c r="G17" i="52"/>
  <c r="H17" i="52"/>
  <c r="F18" i="52"/>
  <c r="L10" i="53" s="1"/>
  <c r="G18" i="52"/>
  <c r="H18" i="52"/>
  <c r="B10" i="53" s="1"/>
  <c r="F19" i="52"/>
  <c r="G19" i="52"/>
  <c r="H19" i="52"/>
  <c r="F20" i="52"/>
  <c r="G20" i="52"/>
  <c r="F21" i="52"/>
  <c r="G21" i="52"/>
  <c r="H21" i="52"/>
  <c r="F22" i="52"/>
  <c r="G22" i="52"/>
  <c r="H22" i="52"/>
  <c r="F23" i="52"/>
  <c r="G23" i="52"/>
  <c r="H23" i="52"/>
  <c r="F24" i="52"/>
  <c r="G24" i="52"/>
  <c r="F25" i="52"/>
  <c r="G25" i="52"/>
  <c r="H25" i="52"/>
  <c r="F26" i="52"/>
  <c r="G26" i="52"/>
  <c r="H26" i="52"/>
  <c r="A18" i="53" s="1"/>
  <c r="F27" i="52"/>
  <c r="G27" i="52"/>
  <c r="F28" i="52"/>
  <c r="H28" i="52" s="1"/>
  <c r="A20" i="53" s="1"/>
  <c r="G28" i="52"/>
  <c r="F29" i="52"/>
  <c r="G29" i="52"/>
  <c r="H29" i="52"/>
  <c r="B21" i="53" s="1"/>
  <c r="F30" i="52"/>
  <c r="G30" i="52"/>
  <c r="H30" i="52"/>
  <c r="F31" i="52"/>
  <c r="G31" i="52"/>
  <c r="F32" i="52"/>
  <c r="G32" i="52"/>
  <c r="H32" i="52"/>
  <c r="F33" i="52"/>
  <c r="G33" i="52"/>
  <c r="H33" i="52"/>
  <c r="F34" i="52"/>
  <c r="G34" i="52"/>
  <c r="H34" i="52"/>
  <c r="A26" i="53" s="1"/>
  <c r="F35" i="52"/>
  <c r="G35" i="52"/>
  <c r="F36" i="52"/>
  <c r="G36" i="52"/>
  <c r="H36" i="52"/>
  <c r="A28" i="53" s="1"/>
  <c r="A6" i="53"/>
  <c r="B6" i="53"/>
  <c r="A7" i="53"/>
  <c r="B7" i="53"/>
  <c r="A8" i="53"/>
  <c r="A13" i="53"/>
  <c r="B13" i="53"/>
  <c r="A14" i="53"/>
  <c r="A17" i="53"/>
  <c r="B17" i="53"/>
  <c r="A24" i="53"/>
  <c r="B43" i="53"/>
  <c r="A48" i="53"/>
  <c r="G10" i="52"/>
  <c r="F10" i="52"/>
  <c r="E111" i="47"/>
  <c r="E110" i="47"/>
  <c r="E106" i="47"/>
  <c r="E105" i="47"/>
  <c r="E104" i="47"/>
  <c r="E103" i="47"/>
  <c r="E102" i="47"/>
  <c r="E101" i="47"/>
  <c r="E100" i="47"/>
  <c r="E85" i="47"/>
  <c r="E84" i="47"/>
  <c r="E73" i="47"/>
  <c r="E72" i="47"/>
  <c r="E61" i="47"/>
  <c r="E60" i="47"/>
  <c r="E49" i="47"/>
  <c r="E48" i="47"/>
  <c r="E37" i="47"/>
  <c r="E36" i="47"/>
  <c r="E25" i="47"/>
  <c r="E24" i="47"/>
  <c r="E13" i="47"/>
  <c r="E24" i="54"/>
  <c r="H48" i="52" l="1"/>
  <c r="L40" i="53" s="1"/>
  <c r="A32" i="53"/>
  <c r="H55" i="52"/>
  <c r="L47" i="53"/>
  <c r="A47" i="53"/>
  <c r="L32" i="53"/>
  <c r="B47" i="53"/>
  <c r="H35" i="52"/>
  <c r="A27" i="53"/>
  <c r="B27" i="53"/>
  <c r="L27" i="53"/>
  <c r="H20" i="52"/>
  <c r="L12" i="53"/>
  <c r="L39" i="53"/>
  <c r="H27" i="52"/>
  <c r="A19" i="53" s="1"/>
  <c r="L19" i="53"/>
  <c r="A5" i="53"/>
  <c r="L5" i="53"/>
  <c r="A11" i="53"/>
  <c r="L46" i="53"/>
  <c r="B26" i="53"/>
  <c r="L26" i="53"/>
  <c r="L18" i="53"/>
  <c r="L11" i="53"/>
  <c r="B20" i="53"/>
  <c r="B39" i="53"/>
  <c r="B31" i="53"/>
  <c r="B46" i="53"/>
  <c r="B18" i="53"/>
  <c r="B4" i="53"/>
  <c r="A31" i="53"/>
  <c r="A46" i="53"/>
  <c r="A25" i="53"/>
  <c r="A10" i="53"/>
  <c r="H46" i="52"/>
  <c r="L38" i="53" s="1"/>
  <c r="H11" i="52"/>
  <c r="B3" i="53" s="1"/>
  <c r="A30" i="53"/>
  <c r="A45" i="53"/>
  <c r="B24" i="53"/>
  <c r="B51" i="53"/>
  <c r="H24" i="52"/>
  <c r="L16" i="53" s="1"/>
  <c r="A9" i="53"/>
  <c r="A51" i="53"/>
  <c r="H37" i="52"/>
  <c r="A29" i="53" s="1"/>
  <c r="H31" i="52"/>
  <c r="H44" i="52"/>
  <c r="L51" i="53"/>
  <c r="L31" i="53"/>
  <c r="A50" i="53"/>
  <c r="L50" i="53"/>
  <c r="A39" i="53"/>
  <c r="B22" i="53"/>
  <c r="A15" i="53"/>
  <c r="B8" i="53"/>
  <c r="H43" i="52"/>
  <c r="L35" i="53" s="1"/>
  <c r="L29" i="53"/>
  <c r="L9" i="53"/>
  <c r="B37" i="53"/>
  <c r="A4" i="53"/>
  <c r="A22" i="53"/>
  <c r="L8" i="53"/>
  <c r="H57" i="52"/>
  <c r="A21" i="53"/>
  <c r="B14" i="53"/>
  <c r="A34" i="53"/>
  <c r="B28" i="53"/>
  <c r="L25" i="53"/>
  <c r="B48" i="53"/>
  <c r="A41" i="53"/>
  <c r="L24" i="53"/>
  <c r="L4" i="53"/>
  <c r="A33" i="53"/>
  <c r="L23" i="53"/>
  <c r="B38" i="53"/>
  <c r="A38" i="53"/>
  <c r="A36" i="53"/>
  <c r="B34" i="53"/>
  <c r="B33" i="53"/>
  <c r="B41" i="53"/>
  <c r="B40" i="53"/>
  <c r="B49" i="53"/>
  <c r="B29" i="53"/>
  <c r="H50" i="52"/>
  <c r="L42" i="53" s="1"/>
  <c r="B23" i="53"/>
  <c r="A23" i="53"/>
  <c r="B12" i="53"/>
  <c r="A12" i="53"/>
  <c r="B11" i="53"/>
  <c r="B19" i="53"/>
  <c r="B9" i="53"/>
  <c r="B25" i="53"/>
  <c r="B15" i="53"/>
  <c r="B5" i="53"/>
  <c r="H10" i="52"/>
  <c r="L2" i="53" s="1"/>
  <c r="L3" i="53" l="1"/>
  <c r="A3" i="53"/>
  <c r="B36" i="53"/>
  <c r="L36" i="53"/>
  <c r="A42" i="53"/>
  <c r="B42" i="53"/>
  <c r="A49" i="53"/>
  <c r="L49" i="53"/>
  <c r="A16" i="53"/>
  <c r="A40" i="53"/>
  <c r="B16" i="53"/>
  <c r="A35" i="53"/>
  <c r="B35" i="53"/>
  <c r="C5" i="52"/>
  <c r="O42" i="2" s="1"/>
  <c r="A2" i="53"/>
  <c r="B2" i="53"/>
  <c r="A2" i="54"/>
  <c r="F7" i="21" l="1"/>
  <c r="E7" i="21"/>
  <c r="A2" i="52"/>
  <c r="B3" i="46"/>
  <c r="C3" i="46"/>
  <c r="D3" i="46"/>
  <c r="E3" i="46"/>
  <c r="F3" i="46"/>
  <c r="G3" i="46"/>
  <c r="H3" i="46"/>
  <c r="I3" i="46"/>
  <c r="A3" i="46"/>
  <c r="D31" i="24"/>
  <c r="L31" i="11"/>
  <c r="L26" i="24" s="1"/>
  <c r="L71" i="11" s="1"/>
  <c r="C71" i="11"/>
  <c r="D26" i="24"/>
  <c r="D71" i="11" s="1"/>
  <c r="E26" i="24"/>
  <c r="E71" i="11" s="1"/>
  <c r="F26" i="24"/>
  <c r="F71" i="11" s="1"/>
  <c r="G26" i="24"/>
  <c r="G71" i="11" s="1"/>
  <c r="H26" i="24"/>
  <c r="H71" i="11" s="1"/>
  <c r="I26" i="24"/>
  <c r="I71" i="11" s="1"/>
  <c r="J26" i="24"/>
  <c r="J71" i="11" s="1"/>
  <c r="K26" i="24"/>
  <c r="K71" i="11" s="1"/>
  <c r="J3" i="46" l="1"/>
  <c r="H1" i="46"/>
  <c r="C7" i="21"/>
  <c r="B7" i="21"/>
  <c r="R1" i="20" l="1"/>
  <c r="S64" i="2"/>
  <c r="A7" i="46"/>
  <c r="O14" i="2"/>
  <c r="O83" i="24"/>
  <c r="H26" i="45" s="1"/>
  <c r="G26" i="45"/>
  <c r="F26" i="45"/>
  <c r="O51" i="2"/>
  <c r="B26" i="45" s="1"/>
  <c r="L83" i="24" l="1"/>
  <c r="P51" i="2"/>
  <c r="M83" i="24" s="1"/>
  <c r="N83" i="24" l="1"/>
  <c r="E26" i="45" s="1"/>
  <c r="A16" i="49"/>
  <c r="C1" i="51"/>
  <c r="L40" i="11"/>
  <c r="L39" i="11"/>
  <c r="L41" i="11" s="1"/>
  <c r="H42" i="11"/>
  <c r="D42" i="11"/>
  <c r="K16" i="49" l="1"/>
  <c r="H16" i="49"/>
  <c r="D16" i="49"/>
  <c r="E16" i="49"/>
  <c r="J16" i="49"/>
  <c r="G16" i="49"/>
  <c r="C16" i="49"/>
  <c r="L16" i="49"/>
  <c r="M16" i="49"/>
  <c r="F16" i="49"/>
  <c r="I16" i="49"/>
  <c r="B2" i="20" l="1"/>
  <c r="D2" i="20"/>
  <c r="E2" i="20"/>
  <c r="F2" i="20"/>
  <c r="G2" i="20"/>
  <c r="H2" i="20"/>
  <c r="I2" i="20"/>
  <c r="J2" i="20"/>
  <c r="K2" i="20"/>
  <c r="L2" i="20"/>
  <c r="N2" i="20"/>
  <c r="O2" i="20"/>
  <c r="S2" i="20"/>
  <c r="T2" i="20"/>
  <c r="U2" i="20"/>
  <c r="V2" i="20"/>
  <c r="W2" i="20"/>
  <c r="X2" i="20"/>
  <c r="Y2" i="20"/>
  <c r="Z2" i="20"/>
  <c r="AA2" i="20"/>
  <c r="AB2" i="20"/>
  <c r="AC2" i="20"/>
  <c r="T18" i="12"/>
  <c r="C18" i="12"/>
  <c r="C2" i="20" s="1"/>
  <c r="C19" i="12"/>
  <c r="R2" i="20" l="1"/>
  <c r="AI18" i="12"/>
  <c r="AG18" i="12"/>
  <c r="AH18" i="12"/>
  <c r="N18" i="12"/>
  <c r="Q18" i="12" s="1"/>
  <c r="P2" i="20" s="1"/>
  <c r="R18" i="12" l="1"/>
  <c r="Q2" i="20" s="1"/>
  <c r="M2" i="20"/>
  <c r="C76" i="11"/>
  <c r="C75" i="11"/>
  <c r="C74" i="11"/>
  <c r="C73" i="11"/>
  <c r="C72" i="11"/>
  <c r="C70" i="11"/>
  <c r="L69" i="11"/>
  <c r="C69" i="11"/>
  <c r="E32" i="24"/>
  <c r="F32" i="24"/>
  <c r="G32" i="24"/>
  <c r="H32" i="24"/>
  <c r="I32" i="24"/>
  <c r="J32" i="24"/>
  <c r="K32" i="24"/>
  <c r="D32" i="24"/>
  <c r="E31" i="24"/>
  <c r="F31" i="24"/>
  <c r="G31" i="24"/>
  <c r="H31" i="24"/>
  <c r="I31" i="24"/>
  <c r="J31" i="24"/>
  <c r="K31" i="24"/>
  <c r="D75" i="11"/>
  <c r="E25" i="24"/>
  <c r="F25" i="24"/>
  <c r="G25" i="24"/>
  <c r="H25" i="24"/>
  <c r="I25" i="24"/>
  <c r="J25" i="24"/>
  <c r="K25" i="24"/>
  <c r="D25" i="24"/>
  <c r="E30" i="24"/>
  <c r="F30" i="24"/>
  <c r="G30" i="24"/>
  <c r="H30" i="24"/>
  <c r="I30" i="24"/>
  <c r="J30" i="24"/>
  <c r="K30" i="24"/>
  <c r="D30" i="24"/>
  <c r="E29" i="24"/>
  <c r="F29" i="24"/>
  <c r="G29" i="24"/>
  <c r="H29" i="24"/>
  <c r="I29" i="24"/>
  <c r="J29" i="24"/>
  <c r="K29" i="24"/>
  <c r="D29" i="24"/>
  <c r="K24" i="24"/>
  <c r="K69" i="11" s="1"/>
  <c r="J24" i="24"/>
  <c r="J69" i="11" s="1"/>
  <c r="I24" i="24"/>
  <c r="I69" i="11" s="1"/>
  <c r="H24" i="24"/>
  <c r="H69" i="11" s="1"/>
  <c r="G24" i="24"/>
  <c r="G69" i="11" s="1"/>
  <c r="F24" i="24"/>
  <c r="F69" i="11" s="1"/>
  <c r="E24" i="24"/>
  <c r="E69" i="11" s="1"/>
  <c r="D24" i="24"/>
  <c r="D69" i="11" s="1"/>
  <c r="K74" i="11" l="1"/>
  <c r="J74" i="11"/>
  <c r="I74" i="11"/>
  <c r="H74" i="11"/>
  <c r="G74" i="11"/>
  <c r="F74" i="11"/>
  <c r="E74" i="11"/>
  <c r="D74" i="11"/>
  <c r="K73" i="11"/>
  <c r="J73" i="11"/>
  <c r="I73" i="11"/>
  <c r="H73" i="11"/>
  <c r="G73" i="11"/>
  <c r="F73" i="11"/>
  <c r="E73" i="11"/>
  <c r="D73" i="11"/>
  <c r="K76" i="11"/>
  <c r="K70" i="11"/>
  <c r="K75" i="11"/>
  <c r="J76" i="11"/>
  <c r="J70" i="11"/>
  <c r="J75" i="11"/>
  <c r="I70" i="11"/>
  <c r="I76" i="11"/>
  <c r="I75" i="11"/>
  <c r="H76" i="11"/>
  <c r="H70" i="11"/>
  <c r="H75" i="11"/>
  <c r="G76" i="11"/>
  <c r="G70" i="11"/>
  <c r="G75" i="11"/>
  <c r="F76" i="11"/>
  <c r="F70" i="11"/>
  <c r="F75" i="11"/>
  <c r="E75" i="11"/>
  <c r="E76" i="11"/>
  <c r="E70" i="11"/>
  <c r="D76" i="11"/>
  <c r="D70" i="11"/>
  <c r="S82" i="2"/>
  <c r="S73" i="2" l="1"/>
  <c r="S70" i="2"/>
  <c r="G36" i="45" l="1"/>
  <c r="G33" i="45"/>
  <c r="F36" i="45"/>
  <c r="F33" i="45"/>
  <c r="O113" i="24"/>
  <c r="H36" i="45" s="1"/>
  <c r="O104" i="24"/>
  <c r="H33" i="45" s="1"/>
  <c r="C36" i="45"/>
  <c r="C33" i="45"/>
  <c r="B36" i="45"/>
  <c r="B33" i="45"/>
  <c r="O83" i="2"/>
  <c r="O74" i="2"/>
  <c r="P72" i="2" s="1"/>
  <c r="M104" i="24" s="1"/>
  <c r="L104" i="24" l="1"/>
  <c r="D33" i="45"/>
  <c r="D36" i="45"/>
  <c r="P81" i="2"/>
  <c r="M113" i="24" s="1"/>
  <c r="L113" i="24"/>
  <c r="A2" i="12"/>
  <c r="A2" i="2"/>
  <c r="N113" i="24" l="1"/>
  <c r="E36" i="45" s="1"/>
  <c r="A26" i="49"/>
  <c r="J26" i="49" s="1"/>
  <c r="N104" i="24"/>
  <c r="E33" i="45" s="1"/>
  <c r="A23" i="49"/>
  <c r="J23" i="49" s="1"/>
  <c r="O29" i="2"/>
  <c r="M26" i="49" l="1"/>
  <c r="K26" i="49"/>
  <c r="I26" i="49"/>
  <c r="G26" i="49"/>
  <c r="E26" i="49"/>
  <c r="C26" i="49"/>
  <c r="L26" i="49"/>
  <c r="H26" i="49"/>
  <c r="F26" i="49"/>
  <c r="D26" i="49"/>
  <c r="M23" i="49"/>
  <c r="K23" i="49"/>
  <c r="I23" i="49"/>
  <c r="G23" i="49"/>
  <c r="E23" i="49"/>
  <c r="C23" i="49"/>
  <c r="H23" i="49"/>
  <c r="F23" i="49"/>
  <c r="D23" i="49"/>
  <c r="L23" i="49"/>
  <c r="S31" i="2" l="1"/>
  <c r="S28" i="2"/>
  <c r="O59" i="2" l="1"/>
  <c r="L34" i="11" l="1"/>
  <c r="L29" i="24" s="1"/>
  <c r="L73" i="11" l="1"/>
  <c r="G27" i="45"/>
  <c r="F27" i="45"/>
  <c r="C27" i="45"/>
  <c r="B27" i="45"/>
  <c r="B28" i="45"/>
  <c r="C28" i="45"/>
  <c r="F28" i="45"/>
  <c r="G28" i="45"/>
  <c r="O56" i="2"/>
  <c r="O86" i="24"/>
  <c r="H27" i="45" s="1"/>
  <c r="P54" i="2" l="1"/>
  <c r="M86" i="24" s="1"/>
  <c r="N86" i="24" s="1"/>
  <c r="D27" i="45"/>
  <c r="L86" i="24"/>
  <c r="E27" i="45" l="1"/>
  <c r="A17" i="49"/>
  <c r="S25" i="2"/>
  <c r="J17" i="49" l="1"/>
  <c r="I17" i="49"/>
  <c r="H17" i="49"/>
  <c r="G17" i="49"/>
  <c r="F17" i="49"/>
  <c r="E17" i="49"/>
  <c r="D17" i="49"/>
  <c r="M17" i="49"/>
  <c r="L17" i="49"/>
  <c r="K17" i="49"/>
  <c r="C17" i="49"/>
  <c r="B13" i="20" l="1"/>
  <c r="B12" i="20"/>
  <c r="O35" i="2" l="1"/>
  <c r="P33" i="2" s="1"/>
  <c r="M65" i="24" l="1"/>
  <c r="N65" i="24" s="1"/>
  <c r="E20" i="45" s="1"/>
  <c r="D20" i="45"/>
  <c r="E29" i="12"/>
  <c r="E13" i="20" s="1"/>
  <c r="F29" i="12"/>
  <c r="F13" i="20" s="1"/>
  <c r="G29" i="12"/>
  <c r="G13" i="20" s="1"/>
  <c r="H29" i="12"/>
  <c r="H13" i="20" s="1"/>
  <c r="I29" i="12"/>
  <c r="I13" i="20" s="1"/>
  <c r="J29" i="12"/>
  <c r="J13" i="20" s="1"/>
  <c r="K29" i="12"/>
  <c r="K13" i="20" s="1"/>
  <c r="D29" i="12"/>
  <c r="D13" i="20" s="1"/>
  <c r="S19" i="2"/>
  <c r="C30" i="45"/>
  <c r="C16" i="45"/>
  <c r="L36" i="11"/>
  <c r="J7" i="46" s="1"/>
  <c r="L35" i="11"/>
  <c r="S55" i="2"/>
  <c r="L30" i="11"/>
  <c r="O37" i="2" s="1"/>
  <c r="C14" i="45"/>
  <c r="B14" i="45"/>
  <c r="O17" i="2"/>
  <c r="P15" i="2" s="1"/>
  <c r="C3" i="20"/>
  <c r="B2" i="21"/>
  <c r="B1" i="21"/>
  <c r="D4" i="20"/>
  <c r="E4" i="20"/>
  <c r="F4" i="20"/>
  <c r="G4" i="20"/>
  <c r="H4" i="20"/>
  <c r="I4" i="20"/>
  <c r="J4" i="20"/>
  <c r="K4" i="20"/>
  <c r="L4" i="20"/>
  <c r="N4" i="20"/>
  <c r="O4" i="20"/>
  <c r="S4" i="20"/>
  <c r="T4" i="20"/>
  <c r="U4" i="20"/>
  <c r="V4" i="20"/>
  <c r="W4" i="20"/>
  <c r="X4" i="20"/>
  <c r="Y4" i="20"/>
  <c r="Z4" i="20"/>
  <c r="AA4" i="20"/>
  <c r="AB4" i="20"/>
  <c r="AC4" i="20"/>
  <c r="D5" i="20"/>
  <c r="E5" i="20"/>
  <c r="F5" i="20"/>
  <c r="G5" i="20"/>
  <c r="H5" i="20"/>
  <c r="I5" i="20"/>
  <c r="J5" i="20"/>
  <c r="K5" i="20"/>
  <c r="L5" i="20"/>
  <c r="N5" i="20"/>
  <c r="O5" i="20"/>
  <c r="S5" i="20"/>
  <c r="T5" i="20"/>
  <c r="U5" i="20"/>
  <c r="V5" i="20"/>
  <c r="W5" i="20"/>
  <c r="X5" i="20"/>
  <c r="Y5" i="20"/>
  <c r="Z5" i="20"/>
  <c r="AA5" i="20"/>
  <c r="AB5" i="20"/>
  <c r="AC5" i="20"/>
  <c r="D6" i="20"/>
  <c r="E6" i="20"/>
  <c r="F6" i="20"/>
  <c r="G6" i="20"/>
  <c r="H6" i="20"/>
  <c r="I6" i="20"/>
  <c r="J6" i="20"/>
  <c r="K6" i="20"/>
  <c r="L6" i="20"/>
  <c r="N6" i="20"/>
  <c r="O6" i="20"/>
  <c r="S6" i="20"/>
  <c r="T6" i="20"/>
  <c r="U6" i="20"/>
  <c r="V6" i="20"/>
  <c r="W6" i="20"/>
  <c r="X6" i="20"/>
  <c r="Y6" i="20"/>
  <c r="Z6" i="20"/>
  <c r="AA6" i="20"/>
  <c r="AB6" i="20"/>
  <c r="AC6" i="20"/>
  <c r="D7" i="20"/>
  <c r="E7" i="20"/>
  <c r="F7" i="20"/>
  <c r="G7" i="20"/>
  <c r="H7" i="20"/>
  <c r="I7" i="20"/>
  <c r="J7" i="20"/>
  <c r="K7" i="20"/>
  <c r="L7" i="20"/>
  <c r="N7" i="20"/>
  <c r="O7" i="20"/>
  <c r="S7" i="20"/>
  <c r="T7" i="20"/>
  <c r="U7" i="20"/>
  <c r="V7" i="20"/>
  <c r="W7" i="20"/>
  <c r="X7" i="20"/>
  <c r="Y7" i="20"/>
  <c r="Z7" i="20"/>
  <c r="AA7" i="20"/>
  <c r="AB7" i="20"/>
  <c r="AC7" i="20"/>
  <c r="D8" i="20"/>
  <c r="E8" i="20"/>
  <c r="F8" i="20"/>
  <c r="G8" i="20"/>
  <c r="H8" i="20"/>
  <c r="I8" i="20"/>
  <c r="J8" i="20"/>
  <c r="K8" i="20"/>
  <c r="L8" i="20"/>
  <c r="N8" i="20"/>
  <c r="O8" i="20"/>
  <c r="S8" i="20"/>
  <c r="T8" i="20"/>
  <c r="U8" i="20"/>
  <c r="V8" i="20"/>
  <c r="W8" i="20"/>
  <c r="X8" i="20"/>
  <c r="Y8" i="20"/>
  <c r="Z8" i="20"/>
  <c r="AA8" i="20"/>
  <c r="AB8" i="20"/>
  <c r="AC8" i="20"/>
  <c r="D9" i="20"/>
  <c r="E9" i="20"/>
  <c r="F9" i="20"/>
  <c r="G9" i="20"/>
  <c r="H9" i="20"/>
  <c r="I9" i="20"/>
  <c r="J9" i="20"/>
  <c r="K9" i="20"/>
  <c r="L9" i="20"/>
  <c r="N9" i="20"/>
  <c r="O9" i="20"/>
  <c r="S9" i="20"/>
  <c r="T9" i="20"/>
  <c r="U9" i="20"/>
  <c r="V9" i="20"/>
  <c r="W9" i="20"/>
  <c r="X9" i="20"/>
  <c r="Y9" i="20"/>
  <c r="Z9" i="20"/>
  <c r="AA9" i="20"/>
  <c r="AB9" i="20"/>
  <c r="AC9" i="20"/>
  <c r="D10" i="20"/>
  <c r="E10" i="20"/>
  <c r="F10" i="20"/>
  <c r="G10" i="20"/>
  <c r="H10" i="20"/>
  <c r="I10" i="20"/>
  <c r="J10" i="20"/>
  <c r="K10" i="20"/>
  <c r="L10" i="20"/>
  <c r="N10" i="20"/>
  <c r="O10" i="20"/>
  <c r="S10" i="20"/>
  <c r="T10" i="20"/>
  <c r="U10" i="20"/>
  <c r="V10" i="20"/>
  <c r="W10" i="20"/>
  <c r="X10" i="20"/>
  <c r="Y10" i="20"/>
  <c r="Z10" i="20"/>
  <c r="AA10" i="20"/>
  <c r="AB10" i="20"/>
  <c r="AC10" i="20"/>
  <c r="D11" i="20"/>
  <c r="E11" i="20"/>
  <c r="F11" i="20"/>
  <c r="G11" i="20"/>
  <c r="H11" i="20"/>
  <c r="I11" i="20"/>
  <c r="J11" i="20"/>
  <c r="K11" i="20"/>
  <c r="L11" i="20"/>
  <c r="N11" i="20"/>
  <c r="O11" i="20"/>
  <c r="S11" i="20"/>
  <c r="T11" i="20"/>
  <c r="U11" i="20"/>
  <c r="V11" i="20"/>
  <c r="W11" i="20"/>
  <c r="X11" i="20"/>
  <c r="Y11" i="20"/>
  <c r="Z11" i="20"/>
  <c r="AA11" i="20"/>
  <c r="AB11" i="20"/>
  <c r="AC11" i="20"/>
  <c r="D12" i="20"/>
  <c r="E12" i="20"/>
  <c r="F12" i="20"/>
  <c r="G12" i="20"/>
  <c r="H12" i="20"/>
  <c r="I12" i="20"/>
  <c r="J12" i="20"/>
  <c r="K12" i="20"/>
  <c r="B4" i="20"/>
  <c r="B5" i="20"/>
  <c r="B6" i="20"/>
  <c r="B7" i="20"/>
  <c r="B8" i="20"/>
  <c r="B9" i="20"/>
  <c r="B10" i="20"/>
  <c r="B11" i="20"/>
  <c r="A2" i="46"/>
  <c r="AG28" i="12"/>
  <c r="T27" i="12"/>
  <c r="T26" i="12"/>
  <c r="T25" i="12"/>
  <c r="T24" i="12"/>
  <c r="AH24" i="12" s="1"/>
  <c r="T23" i="12"/>
  <c r="AI23" i="12" s="1"/>
  <c r="T22" i="12"/>
  <c r="T21" i="12"/>
  <c r="T20" i="12"/>
  <c r="R4" i="20" s="1"/>
  <c r="C28" i="12"/>
  <c r="C27" i="12"/>
  <c r="C26" i="12"/>
  <c r="C25" i="12"/>
  <c r="C24" i="12"/>
  <c r="C23" i="12"/>
  <c r="C22" i="12"/>
  <c r="C21" i="12"/>
  <c r="C20" i="12"/>
  <c r="N20" i="12" s="1"/>
  <c r="M4" i="20" s="1"/>
  <c r="T19" i="12"/>
  <c r="R3" i="20" s="1"/>
  <c r="A78" i="12"/>
  <c r="B78" i="12"/>
  <c r="C78" i="12"/>
  <c r="E78" i="12"/>
  <c r="F78" i="12"/>
  <c r="G78" i="12"/>
  <c r="H78" i="12"/>
  <c r="I78" i="12"/>
  <c r="J78" i="12"/>
  <c r="K78" i="12"/>
  <c r="M78" i="12"/>
  <c r="A79" i="12"/>
  <c r="B79" i="12"/>
  <c r="C79" i="12"/>
  <c r="E79" i="12"/>
  <c r="F79" i="12"/>
  <c r="G79" i="12"/>
  <c r="H79" i="12"/>
  <c r="I79" i="12"/>
  <c r="J79" i="12"/>
  <c r="K79" i="12"/>
  <c r="M79" i="12"/>
  <c r="A80" i="12"/>
  <c r="B80" i="12"/>
  <c r="C80" i="12"/>
  <c r="E80" i="12"/>
  <c r="F80" i="12"/>
  <c r="G80" i="12"/>
  <c r="H80" i="12"/>
  <c r="I80" i="12"/>
  <c r="J80" i="12"/>
  <c r="K80" i="12"/>
  <c r="M80" i="12"/>
  <c r="A81" i="12"/>
  <c r="B81" i="12"/>
  <c r="C81" i="12"/>
  <c r="E81" i="12"/>
  <c r="F81" i="12"/>
  <c r="G81" i="12"/>
  <c r="H81" i="12"/>
  <c r="I81" i="12"/>
  <c r="J81" i="12"/>
  <c r="K81" i="12"/>
  <c r="M81" i="12"/>
  <c r="A82" i="12"/>
  <c r="B82" i="12"/>
  <c r="C82" i="12"/>
  <c r="E82" i="12"/>
  <c r="F82" i="12"/>
  <c r="G82" i="12"/>
  <c r="H82" i="12"/>
  <c r="I82" i="12"/>
  <c r="J82" i="12"/>
  <c r="K82" i="12"/>
  <c r="M82" i="12"/>
  <c r="A83" i="12"/>
  <c r="B83" i="12"/>
  <c r="C83" i="12"/>
  <c r="E83" i="12"/>
  <c r="F83" i="12"/>
  <c r="G83" i="12"/>
  <c r="H83" i="12"/>
  <c r="I83" i="12"/>
  <c r="J83" i="12"/>
  <c r="K83" i="12"/>
  <c r="M83" i="12"/>
  <c r="A84" i="12"/>
  <c r="B84" i="12"/>
  <c r="C84" i="12"/>
  <c r="E84" i="12"/>
  <c r="F84" i="12"/>
  <c r="G84" i="12"/>
  <c r="H84" i="12"/>
  <c r="I84" i="12"/>
  <c r="J84" i="12"/>
  <c r="K84" i="12"/>
  <c r="M84" i="12"/>
  <c r="A85" i="12"/>
  <c r="B85" i="12"/>
  <c r="C85" i="12"/>
  <c r="E85" i="12"/>
  <c r="F85" i="12"/>
  <c r="G85" i="12"/>
  <c r="H85" i="12"/>
  <c r="I85" i="12"/>
  <c r="J85" i="12"/>
  <c r="K85" i="12"/>
  <c r="M85" i="12"/>
  <c r="A86" i="12"/>
  <c r="B86" i="12"/>
  <c r="C86" i="12"/>
  <c r="E86" i="12"/>
  <c r="F86" i="12"/>
  <c r="G86" i="12"/>
  <c r="H86" i="12"/>
  <c r="I86" i="12"/>
  <c r="J86" i="12"/>
  <c r="K86" i="12"/>
  <c r="M86" i="12"/>
  <c r="A87" i="12"/>
  <c r="B87" i="12"/>
  <c r="C87" i="12"/>
  <c r="E87" i="12"/>
  <c r="F87" i="12"/>
  <c r="G87" i="12"/>
  <c r="H87" i="12"/>
  <c r="I87" i="12"/>
  <c r="J87" i="12"/>
  <c r="K87" i="12"/>
  <c r="M87" i="12"/>
  <c r="A88" i="12"/>
  <c r="B88" i="12"/>
  <c r="C88" i="12"/>
  <c r="E88" i="12"/>
  <c r="F88" i="12"/>
  <c r="G88" i="12"/>
  <c r="H88" i="12"/>
  <c r="I88" i="12"/>
  <c r="J88" i="12"/>
  <c r="K88" i="12"/>
  <c r="M88" i="12"/>
  <c r="A89" i="12"/>
  <c r="B89" i="12"/>
  <c r="C89" i="12"/>
  <c r="E89" i="12"/>
  <c r="F89" i="12"/>
  <c r="G89" i="12"/>
  <c r="H89" i="12"/>
  <c r="J89" i="12"/>
  <c r="K89" i="12"/>
  <c r="M89" i="12"/>
  <c r="B77" i="12"/>
  <c r="C77" i="12"/>
  <c r="E77" i="12"/>
  <c r="F77" i="12"/>
  <c r="G77" i="12"/>
  <c r="H77" i="12"/>
  <c r="I77" i="12"/>
  <c r="J77" i="12"/>
  <c r="K77" i="12"/>
  <c r="M77" i="12"/>
  <c r="A77" i="12"/>
  <c r="S3" i="20"/>
  <c r="T3" i="20"/>
  <c r="U3" i="20"/>
  <c r="V3" i="20"/>
  <c r="W3" i="20"/>
  <c r="X3" i="20"/>
  <c r="Y3" i="20"/>
  <c r="Z3" i="20"/>
  <c r="AA3" i="20"/>
  <c r="AB3" i="20"/>
  <c r="AC3" i="20"/>
  <c r="N3" i="20"/>
  <c r="O3" i="20"/>
  <c r="L3" i="20"/>
  <c r="D3" i="20"/>
  <c r="E3" i="20"/>
  <c r="F3" i="20"/>
  <c r="G3" i="20"/>
  <c r="H3" i="20"/>
  <c r="I3" i="20"/>
  <c r="J3" i="20"/>
  <c r="K3" i="20"/>
  <c r="AC1" i="20"/>
  <c r="AB1" i="20"/>
  <c r="AA1" i="20"/>
  <c r="Z1" i="20"/>
  <c r="Y1" i="20"/>
  <c r="X1" i="20"/>
  <c r="W1" i="20"/>
  <c r="V1" i="20"/>
  <c r="U1" i="20"/>
  <c r="T1" i="20"/>
  <c r="S1" i="20"/>
  <c r="C1" i="20"/>
  <c r="M1" i="20"/>
  <c r="P1" i="20"/>
  <c r="O1" i="20"/>
  <c r="N1" i="20"/>
  <c r="L1" i="20"/>
  <c r="J1" i="20"/>
  <c r="I1" i="20"/>
  <c r="C3" i="51"/>
  <c r="C2" i="51"/>
  <c r="B3" i="51"/>
  <c r="B2" i="51"/>
  <c r="B2" i="46"/>
  <c r="D3" i="51"/>
  <c r="A3" i="51"/>
  <c r="A2" i="51"/>
  <c r="D1" i="51"/>
  <c r="B1" i="51"/>
  <c r="A1" i="51"/>
  <c r="C2" i="46"/>
  <c r="D2" i="46"/>
  <c r="E2" i="46"/>
  <c r="F2" i="46"/>
  <c r="G2" i="46"/>
  <c r="H2" i="46"/>
  <c r="I2" i="46"/>
  <c r="C5" i="46"/>
  <c r="D5" i="46"/>
  <c r="E5" i="46"/>
  <c r="F5" i="46"/>
  <c r="G5" i="46"/>
  <c r="H5" i="46"/>
  <c r="I5" i="46"/>
  <c r="C6" i="46"/>
  <c r="D6" i="46"/>
  <c r="E6" i="46"/>
  <c r="F6" i="46"/>
  <c r="G6" i="46"/>
  <c r="H6" i="46"/>
  <c r="I6" i="46"/>
  <c r="C7" i="46"/>
  <c r="D7" i="46"/>
  <c r="E7" i="46"/>
  <c r="F7" i="46"/>
  <c r="G7" i="46"/>
  <c r="H7" i="46"/>
  <c r="I7" i="46"/>
  <c r="B7" i="46"/>
  <c r="I1" i="46"/>
  <c r="J1" i="46"/>
  <c r="E1" i="46"/>
  <c r="F1" i="46"/>
  <c r="D1" i="46"/>
  <c r="C1" i="46"/>
  <c r="A1" i="46"/>
  <c r="A1" i="20"/>
  <c r="B1" i="20"/>
  <c r="D1" i="20"/>
  <c r="E1" i="20"/>
  <c r="F1" i="20"/>
  <c r="G1" i="20"/>
  <c r="H1" i="20"/>
  <c r="K1" i="20"/>
  <c r="Q1" i="20"/>
  <c r="B3" i="20"/>
  <c r="B2" i="45"/>
  <c r="B3" i="45"/>
  <c r="B12" i="45"/>
  <c r="F12" i="45"/>
  <c r="G12" i="45"/>
  <c r="B13" i="45"/>
  <c r="F13" i="45"/>
  <c r="G13" i="45"/>
  <c r="F14" i="45"/>
  <c r="G14" i="45"/>
  <c r="O47" i="24"/>
  <c r="H14" i="45" s="1"/>
  <c r="B15" i="45"/>
  <c r="F15" i="45"/>
  <c r="G15" i="45"/>
  <c r="O50" i="24"/>
  <c r="H15" i="45" s="1"/>
  <c r="B16" i="45"/>
  <c r="F16" i="45"/>
  <c r="G16" i="45"/>
  <c r="B17" i="45"/>
  <c r="C17" i="45"/>
  <c r="F17" i="45"/>
  <c r="G17" i="45"/>
  <c r="O56" i="24"/>
  <c r="H17" i="45" s="1"/>
  <c r="B18" i="45"/>
  <c r="C18" i="45"/>
  <c r="F18" i="45"/>
  <c r="G18" i="45"/>
  <c r="B19" i="45"/>
  <c r="C19" i="45"/>
  <c r="F19" i="45"/>
  <c r="G19" i="45"/>
  <c r="B20" i="45"/>
  <c r="C20" i="45"/>
  <c r="F20" i="45"/>
  <c r="G20" i="45"/>
  <c r="B21" i="45"/>
  <c r="F21" i="45"/>
  <c r="G21" i="45"/>
  <c r="O68" i="24"/>
  <c r="H21" i="45" s="1"/>
  <c r="B22" i="45"/>
  <c r="F22" i="45"/>
  <c r="G22" i="45"/>
  <c r="B23" i="45"/>
  <c r="F23" i="45"/>
  <c r="G23" i="45"/>
  <c r="B24" i="45"/>
  <c r="F24" i="45"/>
  <c r="G24" i="45"/>
  <c r="F25" i="45"/>
  <c r="G25" i="45"/>
  <c r="O80" i="24"/>
  <c r="H25" i="45" s="1"/>
  <c r="O89" i="24"/>
  <c r="H28" i="45" s="1"/>
  <c r="F29" i="45"/>
  <c r="G29" i="45"/>
  <c r="B30" i="45"/>
  <c r="F30" i="45"/>
  <c r="G30" i="45"/>
  <c r="B31" i="45"/>
  <c r="F31" i="45"/>
  <c r="G31" i="45"/>
  <c r="O98" i="24"/>
  <c r="H31" i="45" s="1"/>
  <c r="B32" i="45"/>
  <c r="C32" i="45"/>
  <c r="F32" i="45"/>
  <c r="G32" i="45"/>
  <c r="B34" i="45"/>
  <c r="C34" i="45"/>
  <c r="F34" i="45"/>
  <c r="G34" i="45"/>
  <c r="O107" i="24"/>
  <c r="H34" i="45" s="1"/>
  <c r="B35" i="45"/>
  <c r="F35" i="45"/>
  <c r="G35" i="45"/>
  <c r="O110" i="24"/>
  <c r="H35" i="45" s="1"/>
  <c r="D7" i="21"/>
  <c r="A4" i="46"/>
  <c r="A5" i="46"/>
  <c r="B5" i="46"/>
  <c r="A6" i="46"/>
  <c r="B6" i="46"/>
  <c r="O41" i="24"/>
  <c r="H12" i="45" s="1"/>
  <c r="O44" i="24"/>
  <c r="H13" i="45" s="1"/>
  <c r="O53" i="24"/>
  <c r="H16" i="45" s="1"/>
  <c r="O59" i="24"/>
  <c r="H18" i="45" s="1"/>
  <c r="O62" i="24"/>
  <c r="H19" i="45" s="1"/>
  <c r="O65" i="24"/>
  <c r="H20" i="45" s="1"/>
  <c r="O71" i="24"/>
  <c r="H22" i="45" s="1"/>
  <c r="O74" i="24"/>
  <c r="H23" i="45" s="1"/>
  <c r="O77" i="24"/>
  <c r="H24" i="45" s="1"/>
  <c r="O92" i="24"/>
  <c r="H29" i="45" s="1"/>
  <c r="O95" i="24"/>
  <c r="H30" i="45" s="1"/>
  <c r="O101" i="24"/>
  <c r="H32" i="45" s="1"/>
  <c r="B51" i="13"/>
  <c r="A66" i="13"/>
  <c r="B66" i="13" s="1"/>
  <c r="C8" i="11" s="1"/>
  <c r="E5" i="2" s="1"/>
  <c r="B8" i="29"/>
  <c r="F8" i="29"/>
  <c r="I89" i="12"/>
  <c r="C7" i="12"/>
  <c r="O7" i="12"/>
  <c r="A76" i="12"/>
  <c r="C8" i="44"/>
  <c r="J8" i="44"/>
  <c r="C5" i="2"/>
  <c r="O23" i="2"/>
  <c r="D16" i="45" s="1"/>
  <c r="O26" i="2"/>
  <c r="P27" i="2"/>
  <c r="O32" i="2"/>
  <c r="P30" i="2" s="1"/>
  <c r="O65" i="2"/>
  <c r="O71" i="2"/>
  <c r="O77" i="2"/>
  <c r="P75" i="2" s="1"/>
  <c r="A24" i="49" s="1"/>
  <c r="D33" i="11"/>
  <c r="D28" i="24" s="1"/>
  <c r="E33" i="11"/>
  <c r="E28" i="24" s="1"/>
  <c r="F33" i="11"/>
  <c r="F28" i="24" s="1"/>
  <c r="G33" i="11"/>
  <c r="G28" i="24" s="1"/>
  <c r="H33" i="11"/>
  <c r="H28" i="24" s="1"/>
  <c r="I33" i="11"/>
  <c r="J33" i="11"/>
  <c r="K33" i="11"/>
  <c r="K28" i="24" s="1"/>
  <c r="B5" i="51"/>
  <c r="C5" i="51"/>
  <c r="AH23" i="12"/>
  <c r="AG23" i="12"/>
  <c r="O68" i="2"/>
  <c r="P66" i="2" s="1"/>
  <c r="A21" i="49" s="1"/>
  <c r="L65" i="24"/>
  <c r="K72" i="11" l="1"/>
  <c r="H72" i="11"/>
  <c r="G72" i="11"/>
  <c r="F72" i="11"/>
  <c r="E72" i="11"/>
  <c r="D72" i="11"/>
  <c r="P63" i="2"/>
  <c r="M95" i="24" s="1"/>
  <c r="D30" i="45"/>
  <c r="P69" i="2"/>
  <c r="M101" i="24" s="1"/>
  <c r="D32" i="45"/>
  <c r="P21" i="2"/>
  <c r="M53" i="24" s="1"/>
  <c r="N53" i="24" s="1"/>
  <c r="E16" i="45" s="1"/>
  <c r="R6" i="20"/>
  <c r="R10" i="20"/>
  <c r="N24" i="12"/>
  <c r="Q24" i="12" s="1"/>
  <c r="R7" i="20"/>
  <c r="R11" i="20"/>
  <c r="N23" i="12"/>
  <c r="R8" i="20"/>
  <c r="N22" i="12"/>
  <c r="AI25" i="12"/>
  <c r="N25" i="12"/>
  <c r="M9" i="20" s="1"/>
  <c r="R5" i="20"/>
  <c r="N21" i="12"/>
  <c r="O60" i="2"/>
  <c r="B29" i="45" s="1"/>
  <c r="L30" i="24"/>
  <c r="H4" i="46"/>
  <c r="J28" i="24"/>
  <c r="G4" i="46"/>
  <c r="I28" i="24"/>
  <c r="O48" i="2"/>
  <c r="P48" i="2" s="1"/>
  <c r="L31" i="24"/>
  <c r="L32" i="24"/>
  <c r="L25" i="24"/>
  <c r="M62" i="24"/>
  <c r="S66" i="2"/>
  <c r="M47" i="24"/>
  <c r="O19" i="2"/>
  <c r="C15" i="45" s="1"/>
  <c r="O40" i="2"/>
  <c r="C22" i="45" s="1"/>
  <c r="AG24" i="12"/>
  <c r="AG20" i="12"/>
  <c r="AI20" i="12"/>
  <c r="D2" i="51"/>
  <c r="D4" i="51"/>
  <c r="AI24" i="12"/>
  <c r="AG22" i="12"/>
  <c r="AH22" i="12"/>
  <c r="AI22" i="12"/>
  <c r="AH20" i="12"/>
  <c r="P24" i="2"/>
  <c r="A7" i="49" s="1"/>
  <c r="AI21" i="12"/>
  <c r="AH21" i="12"/>
  <c r="AG21" i="12"/>
  <c r="AH26" i="12"/>
  <c r="AI19" i="12"/>
  <c r="AG19" i="12"/>
  <c r="AH19" i="12"/>
  <c r="I24" i="49"/>
  <c r="J24" i="49"/>
  <c r="J21" i="49"/>
  <c r="I21" i="49"/>
  <c r="C8" i="20"/>
  <c r="C6" i="20"/>
  <c r="C21" i="49"/>
  <c r="G21" i="49"/>
  <c r="E21" i="49"/>
  <c r="M21" i="49"/>
  <c r="F21" i="49"/>
  <c r="D21" i="49"/>
  <c r="H21" i="49"/>
  <c r="L21" i="49"/>
  <c r="K21" i="49"/>
  <c r="D24" i="49"/>
  <c r="E24" i="49"/>
  <c r="C24" i="49"/>
  <c r="F24" i="49"/>
  <c r="G24" i="49"/>
  <c r="H24" i="49"/>
  <c r="K24" i="49"/>
  <c r="M24" i="49"/>
  <c r="L24" i="49"/>
  <c r="P57" i="2"/>
  <c r="A18" i="49" s="1"/>
  <c r="D28" i="45"/>
  <c r="D34" i="45"/>
  <c r="L59" i="24"/>
  <c r="D14" i="45"/>
  <c r="J5" i="46"/>
  <c r="S22" i="2"/>
  <c r="C7" i="20"/>
  <c r="D18" i="45"/>
  <c r="L107" i="24"/>
  <c r="L62" i="24"/>
  <c r="R9" i="20"/>
  <c r="AG25" i="12"/>
  <c r="AH25" i="12"/>
  <c r="AI27" i="12"/>
  <c r="C9" i="20"/>
  <c r="C12" i="20"/>
  <c r="E66" i="13"/>
  <c r="A22" i="11" s="1"/>
  <c r="C66" i="13"/>
  <c r="C10" i="11" s="1"/>
  <c r="F4" i="46"/>
  <c r="AI26" i="12"/>
  <c r="AG26" i="12"/>
  <c r="J6" i="46"/>
  <c r="C4" i="46"/>
  <c r="L53" i="24"/>
  <c r="J2" i="46"/>
  <c r="AI28" i="12"/>
  <c r="AH28" i="12"/>
  <c r="AG27" i="12"/>
  <c r="AH27" i="12"/>
  <c r="C5" i="20"/>
  <c r="C4" i="20"/>
  <c r="Q20" i="12"/>
  <c r="P4" i="20" s="1"/>
  <c r="F66" i="13"/>
  <c r="K14" i="11" s="1"/>
  <c r="B3" i="21" s="1"/>
  <c r="D66" i="13"/>
  <c r="E4" i="46"/>
  <c r="O13" i="2"/>
  <c r="L47" i="24"/>
  <c r="M107" i="24"/>
  <c r="N107" i="24" s="1"/>
  <c r="E34" i="45" s="1"/>
  <c r="A10" i="49"/>
  <c r="J10" i="49" s="1"/>
  <c r="B4" i="46"/>
  <c r="B6" i="29"/>
  <c r="C5" i="12"/>
  <c r="C6" i="44"/>
  <c r="L89" i="24"/>
  <c r="O43" i="2"/>
  <c r="O44" i="2" s="1"/>
  <c r="N19" i="12"/>
  <c r="L98" i="24"/>
  <c r="D31" i="45"/>
  <c r="C29" i="12"/>
  <c r="N27" i="12"/>
  <c r="C11" i="20"/>
  <c r="L101" i="24"/>
  <c r="L33" i="11"/>
  <c r="D4" i="46"/>
  <c r="O101" i="11"/>
  <c r="S67" i="2"/>
  <c r="C31" i="45"/>
  <c r="L95" i="24"/>
  <c r="M59" i="24"/>
  <c r="N59" i="24" s="1"/>
  <c r="E18" i="45" s="1"/>
  <c r="A8" i="49"/>
  <c r="I4" i="46"/>
  <c r="D19" i="45"/>
  <c r="L56" i="24"/>
  <c r="D17" i="45"/>
  <c r="N26" i="12"/>
  <c r="C10" i="20"/>
  <c r="L74" i="11" l="1"/>
  <c r="J72" i="11"/>
  <c r="I72" i="11"/>
  <c r="L70" i="11"/>
  <c r="L76" i="11"/>
  <c r="L75" i="11"/>
  <c r="O20" i="2"/>
  <c r="D15" i="45" s="1"/>
  <c r="M8" i="20"/>
  <c r="M7" i="20"/>
  <c r="Q25" i="12"/>
  <c r="P9" i="20" s="1"/>
  <c r="A20" i="49"/>
  <c r="D20" i="49" s="1"/>
  <c r="A22" i="49"/>
  <c r="M6" i="20"/>
  <c r="Q22" i="12"/>
  <c r="P6" i="20" s="1"/>
  <c r="Q23" i="12"/>
  <c r="R23" i="12" s="1"/>
  <c r="Q7" i="20" s="1"/>
  <c r="P8" i="20"/>
  <c r="R24" i="12"/>
  <c r="Q8" i="20" s="1"/>
  <c r="M5" i="20"/>
  <c r="Q21" i="12"/>
  <c r="P5" i="20" s="1"/>
  <c r="C13" i="20"/>
  <c r="O79" i="2"/>
  <c r="L28" i="24"/>
  <c r="A7" i="21"/>
  <c r="A4" i="49"/>
  <c r="J4" i="49" s="1"/>
  <c r="O41" i="2"/>
  <c r="P39" i="2" s="1"/>
  <c r="M71" i="24" s="1"/>
  <c r="N71" i="24" s="1"/>
  <c r="E22" i="45" s="1"/>
  <c r="M56" i="24"/>
  <c r="N56" i="24" s="1"/>
  <c r="E17" i="45" s="1"/>
  <c r="I7" i="49"/>
  <c r="K7" i="49"/>
  <c r="E7" i="49"/>
  <c r="F7" i="49"/>
  <c r="H7" i="49"/>
  <c r="D7" i="49"/>
  <c r="C7" i="49"/>
  <c r="L7" i="49"/>
  <c r="G7" i="49"/>
  <c r="J7" i="49"/>
  <c r="M7" i="49"/>
  <c r="C13" i="45"/>
  <c r="C23" i="45"/>
  <c r="P42" i="2"/>
  <c r="J18" i="49"/>
  <c r="I18" i="49"/>
  <c r="M89" i="24"/>
  <c r="N89" i="24" s="1"/>
  <c r="E28" i="45" s="1"/>
  <c r="F18" i="49"/>
  <c r="D18" i="49"/>
  <c r="K18" i="49"/>
  <c r="G18" i="49"/>
  <c r="L18" i="49"/>
  <c r="M18" i="49"/>
  <c r="E18" i="49"/>
  <c r="C18" i="49"/>
  <c r="H18" i="49"/>
  <c r="C21" i="45"/>
  <c r="O38" i="2"/>
  <c r="P36" i="2" s="1"/>
  <c r="I8" i="49"/>
  <c r="H8" i="49"/>
  <c r="K10" i="49"/>
  <c r="I10" i="49"/>
  <c r="H10" i="49"/>
  <c r="A6" i="49"/>
  <c r="B25" i="45"/>
  <c r="L10" i="49"/>
  <c r="G10" i="49"/>
  <c r="M10" i="49"/>
  <c r="F10" i="49"/>
  <c r="E10" i="49"/>
  <c r="R20" i="12"/>
  <c r="Q4" i="20" s="1"/>
  <c r="E3" i="13"/>
  <c r="F3" i="13" s="1"/>
  <c r="F1" i="13"/>
  <c r="N47" i="24"/>
  <c r="E14" i="45" s="1"/>
  <c r="D10" i="49"/>
  <c r="C10" i="49"/>
  <c r="L80" i="24"/>
  <c r="Q19" i="12"/>
  <c r="P3" i="20" s="1"/>
  <c r="M3" i="20"/>
  <c r="O61" i="2"/>
  <c r="O62" i="2" s="1"/>
  <c r="O46" i="2"/>
  <c r="O10" i="2"/>
  <c r="J4" i="46"/>
  <c r="N101" i="24"/>
  <c r="E32" i="45" s="1"/>
  <c r="N95" i="24"/>
  <c r="E30" i="45" s="1"/>
  <c r="M98" i="24"/>
  <c r="N98" i="24" s="1"/>
  <c r="E31" i="45" s="1"/>
  <c r="N62" i="24"/>
  <c r="E19" i="45" s="1"/>
  <c r="A9" i="49"/>
  <c r="J9" i="49" s="1"/>
  <c r="M11" i="20"/>
  <c r="Q27" i="12"/>
  <c r="M10" i="20"/>
  <c r="Q26" i="12"/>
  <c r="E8" i="49"/>
  <c r="J8" i="49"/>
  <c r="D8" i="49"/>
  <c r="M8" i="49"/>
  <c r="F8" i="49"/>
  <c r="K8" i="49"/>
  <c r="L8" i="49"/>
  <c r="G8" i="49"/>
  <c r="C8" i="49"/>
  <c r="A11" i="49" l="1"/>
  <c r="M68" i="24"/>
  <c r="L72" i="11"/>
  <c r="P18" i="2"/>
  <c r="A5" i="49" s="1"/>
  <c r="C5" i="49" s="1"/>
  <c r="L50" i="24"/>
  <c r="R25" i="12"/>
  <c r="Q9" i="20" s="1"/>
  <c r="R22" i="12"/>
  <c r="Q6" i="20" s="1"/>
  <c r="M20" i="49"/>
  <c r="J20" i="49"/>
  <c r="F20" i="49"/>
  <c r="G20" i="49"/>
  <c r="K20" i="49"/>
  <c r="I20" i="49"/>
  <c r="L20" i="49"/>
  <c r="C20" i="49"/>
  <c r="H20" i="49"/>
  <c r="E20" i="49"/>
  <c r="M6" i="49"/>
  <c r="J6" i="49"/>
  <c r="J22" i="49"/>
  <c r="I22" i="49"/>
  <c r="F22" i="49"/>
  <c r="E22" i="49"/>
  <c r="H22" i="49"/>
  <c r="L22" i="49"/>
  <c r="G22" i="49"/>
  <c r="C22" i="49"/>
  <c r="D22" i="49"/>
  <c r="M22" i="49"/>
  <c r="K22" i="49"/>
  <c r="A11" i="47"/>
  <c r="H59" i="47" s="1"/>
  <c r="E59" i="47" s="1"/>
  <c r="A7" i="47"/>
  <c r="H55" i="47" s="1"/>
  <c r="E55" i="47" s="1"/>
  <c r="A3" i="47"/>
  <c r="A8" i="47"/>
  <c r="A10" i="47"/>
  <c r="H58" i="47" s="1"/>
  <c r="E58" i="47" s="1"/>
  <c r="A6" i="47"/>
  <c r="H6" i="47" s="1"/>
  <c r="E6" i="47" s="1"/>
  <c r="A2" i="47"/>
  <c r="A12" i="47"/>
  <c r="H97" i="47" s="1"/>
  <c r="E97" i="47" s="1"/>
  <c r="A9" i="47"/>
  <c r="H107" i="47" s="1"/>
  <c r="E107" i="47" s="1"/>
  <c r="A5" i="47"/>
  <c r="H53" i="47" s="1"/>
  <c r="E53" i="47" s="1"/>
  <c r="A4" i="47"/>
  <c r="H4" i="47" s="1"/>
  <c r="E4" i="47" s="1"/>
  <c r="P11" i="20"/>
  <c r="R21" i="12"/>
  <c r="Q5" i="20" s="1"/>
  <c r="P7" i="20"/>
  <c r="P10" i="20"/>
  <c r="A13" i="47"/>
  <c r="H98" i="47" s="1"/>
  <c r="E98" i="47" s="1"/>
  <c r="A18" i="12"/>
  <c r="A2" i="20" s="1"/>
  <c r="D22" i="45"/>
  <c r="E4" i="49"/>
  <c r="I4" i="49"/>
  <c r="M4" i="49"/>
  <c r="D4" i="49"/>
  <c r="C4" i="49"/>
  <c r="K4" i="49"/>
  <c r="L4" i="49"/>
  <c r="G4" i="49"/>
  <c r="F4" i="49"/>
  <c r="H4" i="49"/>
  <c r="L71" i="24"/>
  <c r="A15" i="49"/>
  <c r="M80" i="24"/>
  <c r="N80" i="24" s="1"/>
  <c r="E25" i="45" s="1"/>
  <c r="A19" i="12"/>
  <c r="A3" i="20" s="1"/>
  <c r="A27" i="12"/>
  <c r="R31" i="12" s="1"/>
  <c r="M50" i="24"/>
  <c r="N50" i="24" s="1"/>
  <c r="E15" i="45" s="1"/>
  <c r="O47" i="2"/>
  <c r="P45" i="2" s="1"/>
  <c r="D23" i="45"/>
  <c r="L74" i="24"/>
  <c r="D21" i="45"/>
  <c r="L68" i="24"/>
  <c r="A12" i="49"/>
  <c r="I12" i="49" s="1"/>
  <c r="G6" i="49"/>
  <c r="E6" i="49"/>
  <c r="C6" i="49"/>
  <c r="L6" i="49"/>
  <c r="I6" i="49"/>
  <c r="H6" i="49"/>
  <c r="D6" i="49"/>
  <c r="F6" i="49"/>
  <c r="K6" i="49"/>
  <c r="I9" i="49"/>
  <c r="H9" i="49"/>
  <c r="L44" i="24"/>
  <c r="P12" i="2"/>
  <c r="D13" i="45"/>
  <c r="C12" i="45"/>
  <c r="O11" i="2"/>
  <c r="P9" i="2" s="1"/>
  <c r="M41" i="24" s="1"/>
  <c r="N41" i="24" s="1"/>
  <c r="C35" i="45"/>
  <c r="O80" i="2"/>
  <c r="P78" i="2" s="1"/>
  <c r="A25" i="49" s="1"/>
  <c r="R27" i="12"/>
  <c r="R26" i="12"/>
  <c r="R19" i="12"/>
  <c r="Q3" i="20" s="1"/>
  <c r="A24" i="12"/>
  <c r="A8" i="20" s="1"/>
  <c r="A22" i="12"/>
  <c r="A6" i="20" s="1"/>
  <c r="A29" i="12"/>
  <c r="A13" i="20" s="1"/>
  <c r="A28" i="12"/>
  <c r="A26" i="12"/>
  <c r="A10" i="20" s="1"/>
  <c r="A21" i="12"/>
  <c r="A5" i="20" s="1"/>
  <c r="A25" i="12"/>
  <c r="A9" i="20" s="1"/>
  <c r="A23" i="12"/>
  <c r="A7" i="20" s="1"/>
  <c r="A20" i="12"/>
  <c r="A4" i="20" s="1"/>
  <c r="C29" i="45"/>
  <c r="P60" i="2"/>
  <c r="A19" i="49" s="1"/>
  <c r="D9" i="49"/>
  <c r="C9" i="49"/>
  <c r="E9" i="49"/>
  <c r="F9" i="49"/>
  <c r="M9" i="49"/>
  <c r="L9" i="49"/>
  <c r="K9" i="49"/>
  <c r="G9" i="49"/>
  <c r="C24" i="45"/>
  <c r="C11" i="49" l="1"/>
  <c r="I11" i="49"/>
  <c r="H11" i="49"/>
  <c r="G11" i="49"/>
  <c r="F11" i="49"/>
  <c r="E11" i="49"/>
  <c r="M11" i="49"/>
  <c r="L11" i="49"/>
  <c r="K11" i="49"/>
  <c r="J11" i="49"/>
  <c r="D11" i="49"/>
  <c r="L5" i="49"/>
  <c r="K5" i="49"/>
  <c r="J5" i="49"/>
  <c r="G5" i="49"/>
  <c r="D5" i="49"/>
  <c r="I5" i="49"/>
  <c r="H5" i="49"/>
  <c r="E5" i="49"/>
  <c r="F5" i="49"/>
  <c r="M5" i="49"/>
  <c r="H3" i="47"/>
  <c r="E3" i="47" s="1"/>
  <c r="H15" i="49"/>
  <c r="I15" i="49"/>
  <c r="H7" i="47"/>
  <c r="E7" i="47" s="1"/>
  <c r="H11" i="47"/>
  <c r="E11" i="47" s="1"/>
  <c r="H10" i="47"/>
  <c r="E10" i="47" s="1"/>
  <c r="H9" i="47"/>
  <c r="E9" i="47" s="1"/>
  <c r="H68" i="47"/>
  <c r="E68" i="47" s="1"/>
  <c r="H80" i="47"/>
  <c r="E80" i="47" s="1"/>
  <c r="H20" i="47"/>
  <c r="E20" i="47" s="1"/>
  <c r="H93" i="47"/>
  <c r="E93" i="47" s="1"/>
  <c r="H32" i="47"/>
  <c r="E32" i="47" s="1"/>
  <c r="H56" i="47"/>
  <c r="E56" i="47" s="1"/>
  <c r="H44" i="47"/>
  <c r="E44" i="47" s="1"/>
  <c r="H87" i="47"/>
  <c r="E87" i="47" s="1"/>
  <c r="H62" i="47"/>
  <c r="E62" i="47" s="1"/>
  <c r="H26" i="47"/>
  <c r="E26" i="47" s="1"/>
  <c r="H14" i="47"/>
  <c r="E14" i="47" s="1"/>
  <c r="H50" i="47"/>
  <c r="E50" i="47" s="1"/>
  <c r="H74" i="47"/>
  <c r="E74" i="47" s="1"/>
  <c r="H38" i="47"/>
  <c r="E38" i="47" s="1"/>
  <c r="H2" i="47"/>
  <c r="E2" i="47" s="1"/>
  <c r="H65" i="47"/>
  <c r="E65" i="47" s="1"/>
  <c r="H77" i="47"/>
  <c r="E77" i="47" s="1"/>
  <c r="H90" i="47"/>
  <c r="E90" i="47" s="1"/>
  <c r="H17" i="47"/>
  <c r="E17" i="47" s="1"/>
  <c r="H29" i="47"/>
  <c r="E29" i="47" s="1"/>
  <c r="H41" i="47"/>
  <c r="E41" i="47" s="1"/>
  <c r="H78" i="47"/>
  <c r="E78" i="47" s="1"/>
  <c r="H18" i="47"/>
  <c r="E18" i="47" s="1"/>
  <c r="H66" i="47"/>
  <c r="E66" i="47" s="1"/>
  <c r="H91" i="47"/>
  <c r="E91" i="47" s="1"/>
  <c r="H30" i="47"/>
  <c r="E30" i="47" s="1"/>
  <c r="H42" i="47"/>
  <c r="E42" i="47" s="1"/>
  <c r="H54" i="47"/>
  <c r="E54" i="47" s="1"/>
  <c r="H79" i="47"/>
  <c r="E79" i="47" s="1"/>
  <c r="H19" i="47"/>
  <c r="E19" i="47" s="1"/>
  <c r="H67" i="47"/>
  <c r="E67" i="47" s="1"/>
  <c r="H31" i="47"/>
  <c r="E31" i="47" s="1"/>
  <c r="H92" i="47"/>
  <c r="E92" i="47" s="1"/>
  <c r="H43" i="47"/>
  <c r="E43" i="47" s="1"/>
  <c r="H64" i="47"/>
  <c r="E64" i="47" s="1"/>
  <c r="H28" i="47"/>
  <c r="E28" i="47" s="1"/>
  <c r="H16" i="47"/>
  <c r="E16" i="47" s="1"/>
  <c r="H40" i="47"/>
  <c r="E40" i="47" s="1"/>
  <c r="H89" i="47"/>
  <c r="E89" i="47" s="1"/>
  <c r="H76" i="47"/>
  <c r="E76" i="47" s="1"/>
  <c r="H52" i="47"/>
  <c r="E52" i="47" s="1"/>
  <c r="H39" i="47"/>
  <c r="E39" i="47" s="1"/>
  <c r="H88" i="47"/>
  <c r="E88" i="47" s="1"/>
  <c r="H75" i="47"/>
  <c r="E75" i="47" s="1"/>
  <c r="H51" i="47"/>
  <c r="E51" i="47" s="1"/>
  <c r="H63" i="47"/>
  <c r="E63" i="47" s="1"/>
  <c r="H15" i="47"/>
  <c r="E15" i="47" s="1"/>
  <c r="H27" i="47"/>
  <c r="E27" i="47" s="1"/>
  <c r="H8" i="47"/>
  <c r="E8" i="47" s="1"/>
  <c r="H12" i="47"/>
  <c r="E12" i="47" s="1"/>
  <c r="H81" i="47"/>
  <c r="E81" i="47" s="1"/>
  <c r="H69" i="47"/>
  <c r="E69" i="47" s="1"/>
  <c r="H94" i="47"/>
  <c r="E94" i="47" s="1"/>
  <c r="H33" i="47"/>
  <c r="E33" i="47" s="1"/>
  <c r="H21" i="47"/>
  <c r="E21" i="47" s="1"/>
  <c r="H57" i="47"/>
  <c r="E57" i="47" s="1"/>
  <c r="H45" i="47"/>
  <c r="E45" i="47" s="1"/>
  <c r="H82" i="47"/>
  <c r="E82" i="47" s="1"/>
  <c r="H70" i="47"/>
  <c r="E70" i="47" s="1"/>
  <c r="H22" i="47"/>
  <c r="E22" i="47" s="1"/>
  <c r="H95" i="47"/>
  <c r="E95" i="47" s="1"/>
  <c r="H34" i="47"/>
  <c r="E34" i="47" s="1"/>
  <c r="H46" i="47"/>
  <c r="E46" i="47" s="1"/>
  <c r="H23" i="47"/>
  <c r="E23" i="47" s="1"/>
  <c r="H71" i="47"/>
  <c r="E71" i="47" s="1"/>
  <c r="H83" i="47"/>
  <c r="E83" i="47" s="1"/>
  <c r="H96" i="47"/>
  <c r="E96" i="47" s="1"/>
  <c r="H35" i="47"/>
  <c r="E35" i="47" s="1"/>
  <c r="H47" i="47"/>
  <c r="E47" i="47" s="1"/>
  <c r="H5" i="47"/>
  <c r="E5" i="47" s="1"/>
  <c r="Q11" i="20"/>
  <c r="H109" i="47"/>
  <c r="E109" i="47" s="1"/>
  <c r="Q10" i="20"/>
  <c r="H108" i="47"/>
  <c r="E108" i="47" s="1"/>
  <c r="D15" i="49"/>
  <c r="G15" i="49"/>
  <c r="M77" i="24"/>
  <c r="H99" i="47"/>
  <c r="E99" i="47" s="1"/>
  <c r="M15" i="49"/>
  <c r="L15" i="49"/>
  <c r="J15" i="49"/>
  <c r="K15" i="49"/>
  <c r="C15" i="49"/>
  <c r="F15" i="49"/>
  <c r="E15" i="49"/>
  <c r="A3" i="49"/>
  <c r="D3" i="49" s="1"/>
  <c r="D24" i="45"/>
  <c r="L77" i="24"/>
  <c r="M74" i="24"/>
  <c r="N74" i="24" s="1"/>
  <c r="E23" i="45" s="1"/>
  <c r="A13" i="49"/>
  <c r="J25" i="49"/>
  <c r="I25" i="49"/>
  <c r="J19" i="49"/>
  <c r="I19" i="49"/>
  <c r="C19" i="49"/>
  <c r="H19" i="49"/>
  <c r="L19" i="49"/>
  <c r="G19" i="49"/>
  <c r="E19" i="49"/>
  <c r="D19" i="49"/>
  <c r="K19" i="49"/>
  <c r="F19" i="49"/>
  <c r="M19" i="49"/>
  <c r="H25" i="49"/>
  <c r="L25" i="49"/>
  <c r="G25" i="49"/>
  <c r="D25" i="49"/>
  <c r="M25" i="49"/>
  <c r="C25" i="49"/>
  <c r="E25" i="49"/>
  <c r="F25" i="49"/>
  <c r="K25" i="49"/>
  <c r="M12" i="49"/>
  <c r="F12" i="49"/>
  <c r="L12" i="49"/>
  <c r="J12" i="49"/>
  <c r="K12" i="49"/>
  <c r="C12" i="49"/>
  <c r="G12" i="49"/>
  <c r="D12" i="49"/>
  <c r="E12" i="49"/>
  <c r="H12" i="49"/>
  <c r="N68" i="24"/>
  <c r="E21" i="45" s="1"/>
  <c r="A11" i="20"/>
  <c r="M44" i="24"/>
  <c r="N44" i="24" s="1"/>
  <c r="E13" i="45" s="1"/>
  <c r="D12" i="45"/>
  <c r="L41" i="24"/>
  <c r="L110" i="24"/>
  <c r="D35" i="45"/>
  <c r="A12" i="20"/>
  <c r="D29" i="45"/>
  <c r="L92" i="24"/>
  <c r="B15" i="31" l="1"/>
  <c r="C15" i="31" s="1"/>
  <c r="B19" i="31"/>
  <c r="C19" i="31" s="1"/>
  <c r="B23" i="31"/>
  <c r="C23" i="31" s="1"/>
  <c r="B16" i="31"/>
  <c r="C16" i="31" s="1"/>
  <c r="B18" i="31"/>
  <c r="C18" i="31" s="1"/>
  <c r="B17" i="31"/>
  <c r="C17" i="31" s="1"/>
  <c r="B21" i="31"/>
  <c r="C21" i="31" s="1"/>
  <c r="B20" i="31"/>
  <c r="C20" i="31" s="1"/>
  <c r="B25" i="31"/>
  <c r="C25" i="31" s="1"/>
  <c r="G12" i="47"/>
  <c r="J12" i="47"/>
  <c r="F12" i="47"/>
  <c r="G97" i="47"/>
  <c r="J97" i="47"/>
  <c r="F97" i="47"/>
  <c r="D6" i="24"/>
  <c r="G6" i="24"/>
  <c r="G9" i="24" s="1"/>
  <c r="E89" i="2" s="1"/>
  <c r="C6" i="24"/>
  <c r="H6" i="24"/>
  <c r="H9" i="24" s="1"/>
  <c r="F6" i="24"/>
  <c r="E6" i="24"/>
  <c r="E3" i="49"/>
  <c r="F3" i="49"/>
  <c r="G3" i="49"/>
  <c r="K3" i="49"/>
  <c r="H86" i="47"/>
  <c r="E86" i="47" s="1"/>
  <c r="C3" i="49"/>
  <c r="J3" i="49"/>
  <c r="H3" i="49"/>
  <c r="L3" i="49"/>
  <c r="I3" i="49"/>
  <c r="M3" i="49"/>
  <c r="A14" i="49"/>
  <c r="N77" i="24"/>
  <c r="E24" i="45" s="1"/>
  <c r="G13" i="49"/>
  <c r="D13" i="49"/>
  <c r="M13" i="49"/>
  <c r="I13" i="49"/>
  <c r="C13" i="49"/>
  <c r="H13" i="49"/>
  <c r="J13" i="49"/>
  <c r="E13" i="49"/>
  <c r="F13" i="49"/>
  <c r="L13" i="49"/>
  <c r="K13" i="49"/>
  <c r="G107" i="47"/>
  <c r="A2" i="49"/>
  <c r="E12" i="45"/>
  <c r="M110" i="24"/>
  <c r="N110" i="24" s="1"/>
  <c r="E35" i="45" s="1"/>
  <c r="F87" i="47"/>
  <c r="J87" i="47"/>
  <c r="G87" i="47"/>
  <c r="E23" i="31"/>
  <c r="G39" i="47"/>
  <c r="F39" i="47"/>
  <c r="J39" i="47"/>
  <c r="G29" i="47"/>
  <c r="F29" i="47"/>
  <c r="J29" i="47"/>
  <c r="J91" i="47"/>
  <c r="F91" i="47"/>
  <c r="G91" i="47"/>
  <c r="G28" i="47"/>
  <c r="F28" i="47"/>
  <c r="J28" i="47"/>
  <c r="G98" i="47"/>
  <c r="F98" i="47"/>
  <c r="J98" i="47"/>
  <c r="F77" i="47"/>
  <c r="J77" i="47"/>
  <c r="G77" i="47"/>
  <c r="J35" i="47"/>
  <c r="F35" i="47"/>
  <c r="I35" i="47"/>
  <c r="G35" i="47"/>
  <c r="J46" i="47"/>
  <c r="F46" i="47"/>
  <c r="G46" i="47"/>
  <c r="F78" i="47"/>
  <c r="G78" i="47"/>
  <c r="I78" i="47"/>
  <c r="J78" i="47"/>
  <c r="G31" i="47"/>
  <c r="J31" i="47"/>
  <c r="F31" i="47"/>
  <c r="J14" i="47"/>
  <c r="F14" i="47"/>
  <c r="G14" i="47"/>
  <c r="D16" i="31"/>
  <c r="E16" i="31"/>
  <c r="J16" i="47"/>
  <c r="F16" i="47"/>
  <c r="G16" i="47"/>
  <c r="J63" i="47"/>
  <c r="G63" i="47"/>
  <c r="F63" i="47"/>
  <c r="F32" i="47"/>
  <c r="G32" i="47"/>
  <c r="J32" i="47"/>
  <c r="J81" i="47"/>
  <c r="G81" i="47"/>
  <c r="F81" i="47"/>
  <c r="J53" i="47"/>
  <c r="G53" i="47"/>
  <c r="F53" i="47"/>
  <c r="J109" i="47"/>
  <c r="G109" i="47"/>
  <c r="F109" i="47"/>
  <c r="J58" i="47"/>
  <c r="G58" i="47"/>
  <c r="F58" i="47"/>
  <c r="G54" i="47"/>
  <c r="J54" i="47"/>
  <c r="F54" i="47"/>
  <c r="G19" i="47"/>
  <c r="F19" i="47"/>
  <c r="J19" i="47"/>
  <c r="G74" i="47"/>
  <c r="F74" i="47"/>
  <c r="J74" i="47"/>
  <c r="E21" i="31"/>
  <c r="D21" i="31"/>
  <c r="J52" i="47"/>
  <c r="G52" i="47"/>
  <c r="F52" i="47"/>
  <c r="J27" i="47"/>
  <c r="F27" i="47"/>
  <c r="G27" i="47"/>
  <c r="F93" i="47"/>
  <c r="J93" i="47"/>
  <c r="G93" i="47"/>
  <c r="F94" i="47"/>
  <c r="J94" i="47"/>
  <c r="G94" i="47"/>
  <c r="E25" i="31"/>
  <c r="F107" i="47"/>
  <c r="D25" i="31"/>
  <c r="J107" i="47"/>
  <c r="J5" i="47"/>
  <c r="G5" i="47"/>
  <c r="F5" i="47"/>
  <c r="G23" i="47"/>
  <c r="F23" i="47"/>
  <c r="J23" i="47"/>
  <c r="J82" i="47"/>
  <c r="G82" i="47"/>
  <c r="F82" i="47"/>
  <c r="I82" i="47"/>
  <c r="F6" i="47"/>
  <c r="G6" i="47"/>
  <c r="J6" i="47"/>
  <c r="J8" i="47"/>
  <c r="F8" i="47"/>
  <c r="G8" i="47"/>
  <c r="J34" i="47"/>
  <c r="G34" i="47"/>
  <c r="F34" i="47"/>
  <c r="I34" i="47"/>
  <c r="F50" i="47"/>
  <c r="G50" i="47"/>
  <c r="J50" i="47"/>
  <c r="E19" i="31"/>
  <c r="D19" i="31"/>
  <c r="I69" i="47"/>
  <c r="F69" i="47"/>
  <c r="J69" i="47"/>
  <c r="G69" i="47"/>
  <c r="D23" i="31"/>
  <c r="G92" i="47"/>
  <c r="F92" i="47"/>
  <c r="J92" i="47"/>
  <c r="F38" i="47"/>
  <c r="E18" i="31"/>
  <c r="G38" i="47"/>
  <c r="D18" i="31"/>
  <c r="J38" i="47"/>
  <c r="J51" i="47"/>
  <c r="G51" i="47"/>
  <c r="F51" i="47"/>
  <c r="J44" i="47"/>
  <c r="F44" i="47"/>
  <c r="G44" i="47"/>
  <c r="G17" i="47"/>
  <c r="J17" i="47"/>
  <c r="F17" i="47"/>
  <c r="J11" i="47"/>
  <c r="G11" i="47"/>
  <c r="F11" i="47"/>
  <c r="F83" i="47"/>
  <c r="I83" i="47"/>
  <c r="J83" i="47"/>
  <c r="G83" i="47"/>
  <c r="G70" i="47"/>
  <c r="J70" i="47"/>
  <c r="F70" i="47"/>
  <c r="G2" i="47"/>
  <c r="J2" i="47"/>
  <c r="F2" i="47"/>
  <c r="D15" i="31"/>
  <c r="E15" i="31"/>
  <c r="J9" i="47"/>
  <c r="G9" i="47"/>
  <c r="F9" i="47"/>
  <c r="F41" i="47"/>
  <c r="G41" i="47"/>
  <c r="J41" i="47"/>
  <c r="E20" i="31"/>
  <c r="F71" i="47"/>
  <c r="I71" i="47"/>
  <c r="G71" i="47"/>
  <c r="J71" i="47"/>
  <c r="J95" i="47"/>
  <c r="F95" i="47"/>
  <c r="G95" i="47"/>
  <c r="G108" i="47"/>
  <c r="F108" i="47"/>
  <c r="J108" i="47"/>
  <c r="F66" i="47"/>
  <c r="G66" i="47"/>
  <c r="I66" i="47"/>
  <c r="J66" i="47"/>
  <c r="J67" i="47"/>
  <c r="G67" i="47"/>
  <c r="F67" i="47"/>
  <c r="I67" i="47"/>
  <c r="G26" i="47"/>
  <c r="D17" i="31"/>
  <c r="F26" i="47"/>
  <c r="J26" i="47"/>
  <c r="E17" i="31"/>
  <c r="F40" i="47"/>
  <c r="G40" i="47"/>
  <c r="J40" i="47"/>
  <c r="F88" i="47"/>
  <c r="G88" i="47"/>
  <c r="J88" i="47"/>
  <c r="J80" i="47"/>
  <c r="F80" i="47"/>
  <c r="G80" i="47"/>
  <c r="I80" i="47"/>
  <c r="F21" i="47"/>
  <c r="G21" i="47"/>
  <c r="J21" i="47"/>
  <c r="J90" i="47"/>
  <c r="F90" i="47"/>
  <c r="G90" i="47"/>
  <c r="J59" i="47"/>
  <c r="G59" i="47"/>
  <c r="F59" i="47"/>
  <c r="F22" i="47"/>
  <c r="J22" i="47"/>
  <c r="G22" i="47"/>
  <c r="F43" i="47"/>
  <c r="J43" i="47"/>
  <c r="G43" i="47"/>
  <c r="J64" i="47"/>
  <c r="G64" i="47"/>
  <c r="F64" i="47"/>
  <c r="J57" i="47"/>
  <c r="G57" i="47"/>
  <c r="F57" i="47"/>
  <c r="G47" i="47"/>
  <c r="F47" i="47"/>
  <c r="J47" i="47"/>
  <c r="G55" i="47"/>
  <c r="J55" i="47"/>
  <c r="F55" i="47"/>
  <c r="J15" i="47"/>
  <c r="G15" i="47"/>
  <c r="F15" i="47"/>
  <c r="G20" i="47"/>
  <c r="F20" i="47"/>
  <c r="J20" i="47"/>
  <c r="F18" i="47"/>
  <c r="I18" i="47"/>
  <c r="G18" i="47"/>
  <c r="J18" i="47"/>
  <c r="J76" i="47"/>
  <c r="F76" i="47"/>
  <c r="G76" i="47"/>
  <c r="F45" i="47"/>
  <c r="G45" i="47"/>
  <c r="J45" i="47"/>
  <c r="I42" i="47"/>
  <c r="J42" i="47"/>
  <c r="F42" i="47"/>
  <c r="G42" i="47"/>
  <c r="J79" i="47"/>
  <c r="G79" i="47"/>
  <c r="F79" i="47"/>
  <c r="I79" i="47"/>
  <c r="J89" i="47"/>
  <c r="F89" i="47"/>
  <c r="G89" i="47"/>
  <c r="G75" i="47"/>
  <c r="I75" i="47"/>
  <c r="F75" i="47"/>
  <c r="J75" i="47"/>
  <c r="F56" i="47"/>
  <c r="G56" i="47"/>
  <c r="J56" i="47"/>
  <c r="F30" i="47"/>
  <c r="G30" i="47"/>
  <c r="J30" i="47"/>
  <c r="I30" i="47"/>
  <c r="F7" i="47"/>
  <c r="J7" i="47"/>
  <c r="G7" i="47"/>
  <c r="J62" i="47"/>
  <c r="G62" i="47"/>
  <c r="F62" i="47"/>
  <c r="D20" i="31"/>
  <c r="F4" i="47"/>
  <c r="J4" i="47"/>
  <c r="G4" i="47"/>
  <c r="F3" i="47"/>
  <c r="J3" i="47"/>
  <c r="G3" i="47"/>
  <c r="F68" i="47"/>
  <c r="I68" i="47"/>
  <c r="G68" i="47"/>
  <c r="J68" i="47"/>
  <c r="G33" i="47"/>
  <c r="F33" i="47"/>
  <c r="J33" i="47"/>
  <c r="F65" i="47"/>
  <c r="J65" i="47"/>
  <c r="G65" i="47"/>
  <c r="F96" i="47"/>
  <c r="G96" i="47"/>
  <c r="J96" i="47"/>
  <c r="G10" i="47"/>
  <c r="F10" i="47"/>
  <c r="J10" i="47"/>
  <c r="M92" i="24"/>
  <c r="N92" i="24" s="1"/>
  <c r="E29" i="45" s="1"/>
  <c r="O105" i="47" a="1"/>
  <c r="O102" i="47" a="1"/>
  <c r="J113" i="47" l="1"/>
  <c r="F5" i="31" s="1"/>
  <c r="O105" i="47"/>
  <c r="C105" i="48" s="1"/>
  <c r="O102" i="47"/>
  <c r="C102" i="48" s="1"/>
  <c r="J114" i="47"/>
  <c r="E5" i="31" s="1"/>
  <c r="C9" i="24"/>
  <c r="E86" i="2" s="1"/>
  <c r="E11" i="24"/>
  <c r="D7" i="24"/>
  <c r="D10" i="24"/>
  <c r="E10" i="24"/>
  <c r="E7" i="24"/>
  <c r="E9" i="24"/>
  <c r="F9" i="24"/>
  <c r="E90" i="2" s="1"/>
  <c r="G10" i="24"/>
  <c r="G7" i="24"/>
  <c r="G8" i="24" s="1"/>
  <c r="D9" i="24"/>
  <c r="K9" i="24" s="1"/>
  <c r="I6" i="24"/>
  <c r="K6" i="24"/>
  <c r="C14" i="49"/>
  <c r="D14" i="49"/>
  <c r="J14" i="49"/>
  <c r="K14" i="49"/>
  <c r="M14" i="49"/>
  <c r="F14" i="49"/>
  <c r="E14" i="49"/>
  <c r="H14" i="49"/>
  <c r="L14" i="49"/>
  <c r="G14" i="49"/>
  <c r="I14" i="49"/>
  <c r="I2" i="49"/>
  <c r="H2" i="49"/>
  <c r="M2" i="49"/>
  <c r="L2" i="49"/>
  <c r="D2" i="49"/>
  <c r="K2" i="49"/>
  <c r="F2" i="49"/>
  <c r="J2" i="49"/>
  <c r="G2" i="49"/>
  <c r="C2" i="49"/>
  <c r="E2" i="49"/>
  <c r="E24" i="31"/>
  <c r="J99" i="47"/>
  <c r="J115" i="47" s="1"/>
  <c r="G99" i="47"/>
  <c r="F99" i="47"/>
  <c r="D24" i="31"/>
  <c r="C24" i="31" s="1"/>
  <c r="J86" i="47"/>
  <c r="J116" i="47" s="1"/>
  <c r="G86" i="47"/>
  <c r="D22" i="31"/>
  <c r="C22" i="31" s="1"/>
  <c r="E22" i="31"/>
  <c r="F86" i="47"/>
  <c r="N103" i="47" a="1"/>
  <c r="M107" i="47" a="1"/>
  <c r="O104" i="47" a="1"/>
  <c r="L105" i="47" a="1"/>
  <c r="O103" i="47" a="1"/>
  <c r="O109" i="47" a="1"/>
  <c r="O99" i="47" a="1"/>
  <c r="O24" i="47" a="1"/>
  <c r="O56" i="47" a="1"/>
  <c r="O110" i="47" a="1"/>
  <c r="O107" i="47" a="1"/>
  <c r="O111" i="47" a="1"/>
  <c r="O101" i="47" a="1"/>
  <c r="L110" i="47" a="1"/>
  <c r="O106" i="47" a="1"/>
  <c r="L102" i="47" a="1"/>
  <c r="O100" i="47" a="1"/>
  <c r="O108" i="47" a="1"/>
  <c r="O100" i="47" l="1"/>
  <c r="C100" i="48" s="1"/>
  <c r="O103" i="47"/>
  <c r="C103" i="48" s="1"/>
  <c r="O99" i="47"/>
  <c r="C99" i="48" s="1"/>
  <c r="O106" i="47"/>
  <c r="C106" i="48" s="1"/>
  <c r="O111" i="47"/>
  <c r="C111" i="48" s="1"/>
  <c r="O110" i="47"/>
  <c r="C110" i="48" s="1"/>
  <c r="O24" i="47"/>
  <c r="C24" i="48" s="1"/>
  <c r="O108" i="47"/>
  <c r="C108" i="48" s="1"/>
  <c r="O104" i="47"/>
  <c r="C104" i="48" s="1"/>
  <c r="O107" i="47"/>
  <c r="C107" i="48" s="1"/>
  <c r="O101" i="47"/>
  <c r="C101" i="48" s="1"/>
  <c r="O56" i="47"/>
  <c r="C56" i="48" s="1"/>
  <c r="O109" i="47"/>
  <c r="C109" i="48" s="1"/>
  <c r="F86" i="2"/>
  <c r="G11" i="24"/>
  <c r="I11" i="24" s="1"/>
  <c r="F89" i="2"/>
  <c r="F88" i="2"/>
  <c r="E87" i="2"/>
  <c r="N103" i="47"/>
  <c r="B103" i="48" s="1"/>
  <c r="L102" i="47"/>
  <c r="A102" i="48" s="1"/>
  <c r="L110" i="47"/>
  <c r="A110" i="48" s="1"/>
  <c r="L105" i="47"/>
  <c r="A105" i="48" s="1"/>
  <c r="M107" i="47"/>
  <c r="I10" i="24"/>
  <c r="I9" i="24"/>
  <c r="E8" i="24"/>
  <c r="I8" i="24" s="1"/>
  <c r="I7" i="24"/>
  <c r="D5" i="31"/>
  <c r="C5" i="31"/>
  <c r="I21" i="31" a="1"/>
  <c r="I21" i="31" s="1"/>
  <c r="J21" i="31" s="1"/>
  <c r="I25" i="31" a="1"/>
  <c r="I25" i="31" s="1"/>
  <c r="J25" i="31" s="1"/>
  <c r="G25" i="31" a="1"/>
  <c r="G25" i="31" s="1"/>
  <c r="I20" i="31" a="1"/>
  <c r="I20" i="31" s="1"/>
  <c r="J20" i="31" s="1"/>
  <c r="H15" i="31" a="1"/>
  <c r="H15" i="31" s="1"/>
  <c r="B17" i="29" s="1"/>
  <c r="H21" i="31" a="1"/>
  <c r="H21" i="31" s="1"/>
  <c r="B23" i="29" s="1"/>
  <c r="G24" i="31" a="1"/>
  <c r="G24" i="31" s="1"/>
  <c r="I17" i="31" a="1"/>
  <c r="I17" i="31" s="1"/>
  <c r="J17" i="31" s="1"/>
  <c r="G18" i="31" a="1"/>
  <c r="G18" i="31" s="1"/>
  <c r="A20" i="29" s="1"/>
  <c r="I23" i="31" a="1"/>
  <c r="I23" i="31" s="1"/>
  <c r="J23" i="31" s="1"/>
  <c r="G16" i="31" a="1"/>
  <c r="G16" i="31" s="1"/>
  <c r="A18" i="29" s="1"/>
  <c r="H16" i="31" a="1"/>
  <c r="H16" i="31" s="1"/>
  <c r="B18" i="29" s="1"/>
  <c r="I15" i="31" a="1"/>
  <c r="I15" i="31" s="1"/>
  <c r="H24" i="31" a="1"/>
  <c r="H24" i="31" s="1"/>
  <c r="G22" i="31" a="1"/>
  <c r="G22" i="31" s="1"/>
  <c r="A24" i="29" s="1"/>
  <c r="I22" i="31" a="1"/>
  <c r="I22" i="31" s="1"/>
  <c r="J22" i="31" s="1"/>
  <c r="I16" i="31" a="1"/>
  <c r="I16" i="31" s="1"/>
  <c r="J16" i="31" s="1"/>
  <c r="H23" i="31" a="1"/>
  <c r="H23" i="31" s="1"/>
  <c r="B25" i="29" s="1"/>
  <c r="I18" i="31" a="1"/>
  <c r="I18" i="31" s="1"/>
  <c r="J18" i="31" s="1"/>
  <c r="H20" i="31" a="1"/>
  <c r="H20" i="31" s="1"/>
  <c r="B22" i="29" s="1"/>
  <c r="H17" i="31" a="1"/>
  <c r="H17" i="31" s="1"/>
  <c r="B19" i="29" s="1"/>
  <c r="E13" i="29"/>
  <c r="S11" i="12"/>
  <c r="B5" i="31"/>
  <c r="G19" i="31" a="1"/>
  <c r="G19" i="31" s="1"/>
  <c r="A21" i="29" s="1"/>
  <c r="G23" i="31" a="1"/>
  <c r="G23" i="31" s="1"/>
  <c r="A25" i="29" s="1"/>
  <c r="G20" i="31" a="1"/>
  <c r="G20" i="31" s="1"/>
  <c r="A22" i="29" s="1"/>
  <c r="G15" i="31" a="1"/>
  <c r="G15" i="31" s="1"/>
  <c r="A17" i="29" s="1"/>
  <c r="H25" i="31" a="1"/>
  <c r="H25" i="31" s="1"/>
  <c r="G17" i="31" a="1"/>
  <c r="G17" i="31" s="1"/>
  <c r="A19" i="29" s="1"/>
  <c r="I19" i="31" a="1"/>
  <c r="I19" i="31" s="1"/>
  <c r="J19" i="31" s="1"/>
  <c r="H22" i="31" a="1"/>
  <c r="H22" i="31" s="1"/>
  <c r="B24" i="29" s="1"/>
  <c r="H19" i="31" a="1"/>
  <c r="H19" i="31" s="1"/>
  <c r="B21" i="29" s="1"/>
  <c r="F13" i="29"/>
  <c r="Z11" i="12"/>
  <c r="H18" i="31" a="1"/>
  <c r="H18" i="31" s="1"/>
  <c r="B20" i="29" s="1"/>
  <c r="I24" i="31" a="1"/>
  <c r="I24" i="31" s="1"/>
  <c r="J24" i="31" s="1"/>
  <c r="G21" i="31" a="1"/>
  <c r="G21" i="31" s="1"/>
  <c r="A23" i="29" s="1"/>
  <c r="G88" i="2" l="1"/>
  <c r="I70" i="47"/>
  <c r="I54" i="47"/>
  <c r="I52" i="47"/>
  <c r="I87" i="47"/>
  <c r="I33" i="47"/>
  <c r="I77" i="47"/>
  <c r="I97" i="47"/>
  <c r="D13" i="29"/>
  <c r="M11" i="12"/>
  <c r="I29" i="47"/>
  <c r="I39" i="47"/>
  <c r="I51" i="47"/>
  <c r="I15" i="47"/>
  <c r="I40" i="47"/>
  <c r="I41" i="47"/>
  <c r="I16" i="47"/>
  <c r="I17" i="47"/>
  <c r="I81" i="47"/>
  <c r="I31" i="47"/>
  <c r="I76" i="47"/>
  <c r="I65" i="47"/>
  <c r="I63" i="47"/>
  <c r="I53" i="47"/>
  <c r="I28" i="47"/>
  <c r="I64" i="47"/>
  <c r="I27" i="47"/>
  <c r="I62" i="47"/>
  <c r="I43" i="47"/>
  <c r="I55" i="47"/>
  <c r="I14" i="47"/>
  <c r="I19" i="47"/>
  <c r="I38" i="47"/>
  <c r="I50" i="47"/>
  <c r="I99" i="47"/>
  <c r="I26" i="47"/>
  <c r="I74" i="47"/>
  <c r="I32" i="47"/>
  <c r="G11" i="12"/>
  <c r="C13" i="29"/>
  <c r="I44" i="47"/>
  <c r="I56" i="47"/>
  <c r="I20" i="47"/>
  <c r="I108" i="47"/>
  <c r="I109" i="47"/>
  <c r="I89" i="47"/>
  <c r="I46" i="47"/>
  <c r="I59" i="47"/>
  <c r="I45" i="47"/>
  <c r="I57" i="47"/>
  <c r="I23" i="47"/>
  <c r="I47" i="47"/>
  <c r="I58" i="47"/>
  <c r="I21" i="47"/>
  <c r="I22" i="47"/>
  <c r="I88" i="47"/>
  <c r="J15" i="31"/>
  <c r="I10" i="47" s="1"/>
  <c r="I95" i="47"/>
  <c r="I94" i="47"/>
  <c r="I96" i="47"/>
  <c r="I93" i="47"/>
  <c r="I90" i="47"/>
  <c r="I91" i="47"/>
  <c r="I92" i="47"/>
  <c r="A13" i="29"/>
  <c r="A12" i="29" s="1"/>
  <c r="A11" i="12"/>
  <c r="A10" i="12" s="1"/>
  <c r="I107" i="47" l="1"/>
  <c r="I12" i="47"/>
  <c r="I86" i="47"/>
  <c r="I98" i="47"/>
  <c r="I8" i="47"/>
  <c r="I6" i="47"/>
  <c r="I2" i="47"/>
  <c r="I7" i="47"/>
  <c r="I9" i="47"/>
  <c r="I3" i="47"/>
  <c r="I5" i="47"/>
  <c r="I4" i="47"/>
  <c r="I11" i="47"/>
  <c r="P34" i="47" a="1"/>
  <c r="Q25" i="49" a="1"/>
  <c r="M45" i="47" a="1"/>
  <c r="V13" i="49" a="1"/>
  <c r="W19" i="49" a="1"/>
  <c r="M15" i="47" a="1"/>
  <c r="M88" i="47" a="1"/>
  <c r="V9" i="49" a="1"/>
  <c r="L77" i="47" a="1"/>
  <c r="O35" i="47" a="1"/>
  <c r="M9" i="47" a="1"/>
  <c r="N100" i="47" a="1"/>
  <c r="T6" i="49" a="1"/>
  <c r="R10" i="49" a="1"/>
  <c r="M60" i="47" a="1"/>
  <c r="N66" i="47" a="1"/>
  <c r="R2" i="49" a="1"/>
  <c r="L2" i="47" a="1"/>
  <c r="Y21" i="49" a="1"/>
  <c r="L16" i="47" a="1"/>
  <c r="L73" i="47" a="1"/>
  <c r="W3" i="49" a="1"/>
  <c r="M110" i="47" a="1"/>
  <c r="M40" i="47" a="1"/>
  <c r="N70" i="47" a="1"/>
  <c r="T5" i="49" a="1"/>
  <c r="M54" i="47" a="1"/>
  <c r="L70" i="47" a="1"/>
  <c r="N58" i="47" a="1"/>
  <c r="Y4" i="49" a="1"/>
  <c r="O5" i="47" a="1"/>
  <c r="O3" i="49" a="1"/>
  <c r="S24" i="49" a="1"/>
  <c r="M96" i="47" a="1"/>
  <c r="P13" i="47" a="1"/>
  <c r="M8" i="47" a="1"/>
  <c r="P51" i="47" a="1"/>
  <c r="M78" i="47" a="1"/>
  <c r="N52" i="47" a="1"/>
  <c r="M42" i="47" a="1"/>
  <c r="L62" i="47" a="1"/>
  <c r="X3" i="49" a="1"/>
  <c r="O44" i="47" a="1"/>
  <c r="P2" i="49" a="1"/>
  <c r="M46" i="47" a="1"/>
  <c r="P32" i="47" a="1"/>
  <c r="L47" i="47" a="1"/>
  <c r="W2" i="49" a="1"/>
  <c r="O58" i="47" a="1"/>
  <c r="P102" i="47" a="1"/>
  <c r="W12" i="49" a="1"/>
  <c r="S5" i="49" a="1"/>
  <c r="N90" i="47" a="1"/>
  <c r="N79" i="47" a="1"/>
  <c r="P59" i="47" a="1"/>
  <c r="X14" i="49" a="1"/>
  <c r="L44" i="47" a="1"/>
  <c r="M76" i="47" a="1"/>
  <c r="M92" i="47" a="1"/>
  <c r="O45" i="47" a="1"/>
  <c r="N10" i="47" a="1"/>
  <c r="S15" i="49" a="1"/>
  <c r="M53" i="47" a="1"/>
  <c r="P49" i="47" a="1"/>
  <c r="L75" i="47" a="1"/>
  <c r="O21" i="47" a="1"/>
  <c r="M70" i="47" a="1"/>
  <c r="R26" i="49" a="1"/>
  <c r="P92" i="47" a="1"/>
  <c r="O73" i="47" a="1"/>
  <c r="N7" i="47" a="1"/>
  <c r="M57" i="47" a="1"/>
  <c r="W8" i="49" a="1"/>
  <c r="L69" i="47" a="1"/>
  <c r="T19" i="49" a="1"/>
  <c r="V20" i="49" a="1"/>
  <c r="S10" i="49" a="1"/>
  <c r="O29" i="47" a="1"/>
  <c r="P37" i="47" a="1"/>
  <c r="U26" i="49" a="1"/>
  <c r="M103" i="47" a="1"/>
  <c r="P23" i="49" a="1"/>
  <c r="O76" i="47" a="1"/>
  <c r="Q26" i="49" a="1"/>
  <c r="N28" i="47" a="1"/>
  <c r="Q23" i="49" a="1"/>
  <c r="S4" i="49" a="1"/>
  <c r="N36" i="47" a="1"/>
  <c r="N21" i="47" a="1"/>
  <c r="T14" i="49" a="1"/>
  <c r="O54" i="47" a="1"/>
  <c r="L97" i="47" a="1"/>
  <c r="M29" i="47" a="1"/>
  <c r="O25" i="47" a="1"/>
  <c r="W7" i="49" a="1"/>
  <c r="P67" i="47" a="1"/>
  <c r="P7" i="49" a="1"/>
  <c r="P3" i="47" a="1"/>
  <c r="L7" i="47" a="1"/>
  <c r="N89" i="47" a="1"/>
  <c r="P43" i="47" a="1"/>
  <c r="P24" i="47" a="1"/>
  <c r="R3" i="49" a="1"/>
  <c r="P4" i="47" a="1"/>
  <c r="P4" i="49" a="1"/>
  <c r="T2" i="49" a="1"/>
  <c r="Q22" i="49" a="1"/>
  <c r="U4" i="49" a="1"/>
  <c r="N44" i="47" a="1"/>
  <c r="V5" i="49" a="1"/>
  <c r="L28" i="47" a="1"/>
  <c r="L104" i="47" a="1"/>
  <c r="O94" i="47" a="1"/>
  <c r="M26" i="47" a="1"/>
  <c r="S8" i="49" a="1"/>
  <c r="O95" i="47" a="1"/>
  <c r="Y25" i="49" a="1"/>
  <c r="Q17" i="49" a="1"/>
  <c r="X5" i="49" a="1"/>
  <c r="P109" i="47" a="1"/>
  <c r="N110" i="47" a="1"/>
  <c r="M66" i="47" a="1"/>
  <c r="T24" i="49" a="1"/>
  <c r="M73" i="47" a="1"/>
  <c r="N87" i="47" a="1"/>
  <c r="O82" i="47" a="1"/>
  <c r="U20" i="49" a="1"/>
  <c r="O59" i="47" a="1"/>
  <c r="L107" i="47" a="1"/>
  <c r="M25" i="47" a="1"/>
  <c r="O7" i="47" a="1"/>
  <c r="W14" i="49" a="1"/>
  <c r="O2" i="47" a="1"/>
  <c r="P90" i="47" a="1"/>
  <c r="L18" i="47" a="1"/>
  <c r="O68" i="47" a="1"/>
  <c r="P103" i="47" a="1"/>
  <c r="N109" i="47" a="1"/>
  <c r="L86" i="47" a="1"/>
  <c r="O4" i="47" a="1"/>
  <c r="L54" i="47" a="1"/>
  <c r="L64" i="47" a="1"/>
  <c r="M3" i="47" a="1"/>
  <c r="M30" i="47" a="1"/>
  <c r="L36" i="47" a="1"/>
  <c r="O33" i="47" a="1"/>
  <c r="O70" i="47" a="1"/>
  <c r="O7" i="49" a="1"/>
  <c r="M12" i="47" a="1"/>
  <c r="P66" i="47" a="1"/>
  <c r="R22" i="49" a="1"/>
  <c r="P98" i="47" a="1"/>
  <c r="O89" i="47" a="1"/>
  <c r="W4" i="49" a="1"/>
  <c r="O12" i="49" a="1"/>
  <c r="O23" i="47" a="1"/>
  <c r="S3" i="49" a="1"/>
  <c r="P9" i="49" a="1"/>
  <c r="N57" i="47" a="1"/>
  <c r="R13" i="49" a="1"/>
  <c r="P42" i="47" a="1"/>
  <c r="O60" i="47" a="1"/>
  <c r="N19" i="47" a="1"/>
  <c r="N16" i="47" a="1"/>
  <c r="T23" i="49" a="1"/>
  <c r="L74" i="47" a="1"/>
  <c r="Y22" i="49" a="1"/>
  <c r="X18" i="49" a="1"/>
  <c r="N12" i="47" a="1"/>
  <c r="N102" i="47" a="1"/>
  <c r="M21" i="47" a="1"/>
  <c r="P8" i="47" a="1"/>
  <c r="P21" i="47" a="1"/>
  <c r="S12" i="49" a="1"/>
  <c r="Y18" i="49" a="1"/>
  <c r="L100" i="47" a="1"/>
  <c r="N22" i="47" a="1"/>
  <c r="T3" i="49" a="1"/>
  <c r="N77" i="47" a="1"/>
  <c r="P44" i="47" a="1"/>
  <c r="S22" i="49" a="1"/>
  <c r="R16" i="49" a="1"/>
  <c r="P61" i="47" a="1"/>
  <c r="O32" i="47" a="1"/>
  <c r="O40" i="47" a="1"/>
  <c r="L29" i="47" a="1"/>
  <c r="V23" i="49" a="1"/>
  <c r="P12" i="49" a="1"/>
  <c r="W22" i="49" a="1"/>
  <c r="O66" i="47" a="1"/>
  <c r="W5" i="49" a="1"/>
  <c r="O38" i="47" a="1"/>
  <c r="O71" i="47" a="1"/>
  <c r="W11" i="49" a="1"/>
  <c r="N39" i="47" a="1"/>
  <c r="P40" i="47" a="1"/>
  <c r="O57" i="47" a="1"/>
  <c r="O19" i="47" a="1"/>
  <c r="M43" i="47" a="1"/>
  <c r="P89" i="47" a="1"/>
  <c r="P111" i="47" a="1"/>
  <c r="L10" i="47" a="1"/>
  <c r="Y9" i="49" a="1"/>
  <c r="R4" i="49" a="1"/>
  <c r="P93" i="47" a="1"/>
  <c r="P5" i="47" a="1"/>
  <c r="X9" i="49" a="1"/>
  <c r="M80" i="47" a="1"/>
  <c r="P18" i="49" a="1"/>
  <c r="M62" i="47" a="1"/>
  <c r="O6" i="49" a="1"/>
  <c r="M90" i="47" a="1"/>
  <c r="Y10" i="49" a="1"/>
  <c r="L60" i="47" a="1"/>
  <c r="L4" i="47" a="1"/>
  <c r="U7" i="49" a="1"/>
  <c r="N82" i="47" a="1"/>
  <c r="M52" i="47" a="1"/>
  <c r="M4" i="47" a="1"/>
  <c r="M14" i="47" a="1"/>
  <c r="O24" i="49" a="1"/>
  <c r="O74" i="47" a="1"/>
  <c r="P30" i="47" a="1"/>
  <c r="P54" i="47" a="1"/>
  <c r="M105" i="47" a="1"/>
  <c r="O6" i="47" a="1"/>
  <c r="V15" i="49" a="1"/>
  <c r="V16" i="49" a="1"/>
  <c r="O3" i="47" a="1"/>
  <c r="V21" i="49" a="1"/>
  <c r="N76" i="47" a="1"/>
  <c r="N11" i="47" a="1"/>
  <c r="O11" i="47" a="1"/>
  <c r="M27" i="47" a="1"/>
  <c r="P13" i="49" a="1"/>
  <c r="P23" i="47" a="1"/>
  <c r="N73" i="47" a="1"/>
  <c r="T16" i="49" a="1"/>
  <c r="N27" i="47" a="1"/>
  <c r="L66" i="47" a="1"/>
  <c r="O8" i="49" a="1"/>
  <c r="P55" i="47" a="1"/>
  <c r="M84" i="47" a="1"/>
  <c r="W15" i="49" a="1"/>
  <c r="M56" i="47" a="1"/>
  <c r="L40" i="47" a="1"/>
  <c r="U24" i="49" a="1"/>
  <c r="Y20" i="49" a="1"/>
  <c r="R25" i="49" a="1"/>
  <c r="P36" i="47" a="1"/>
  <c r="X12" i="49" a="1"/>
  <c r="Q8" i="49" a="1"/>
  <c r="N75" i="47" a="1"/>
  <c r="N24" i="47" a="1"/>
  <c r="O41" i="47" a="1"/>
  <c r="P74" i="47" a="1"/>
  <c r="P5" i="49" a="1"/>
  <c r="L14" i="47" a="1"/>
  <c r="N43" i="47" a="1"/>
  <c r="N88" i="47" a="1"/>
  <c r="M111" i="47" a="1"/>
  <c r="P10" i="49" a="1"/>
  <c r="P99" i="47" a="1"/>
  <c r="W26" i="49" a="1"/>
  <c r="P60" i="47" a="1"/>
  <c r="L23" i="47" a="1"/>
  <c r="Y7" i="49" a="1"/>
  <c r="O9" i="49" a="1"/>
  <c r="S18" i="49" a="1"/>
  <c r="U19" i="49" a="1"/>
  <c r="P41" i="47" a="1"/>
  <c r="Q5" i="49" a="1"/>
  <c r="M67" i="47" a="1"/>
  <c r="X22" i="49" a="1"/>
  <c r="P22" i="47" a="1"/>
  <c r="M68" i="47" a="1"/>
  <c r="M20" i="47" a="1"/>
  <c r="P65" i="47" a="1"/>
  <c r="L49" i="47" a="1"/>
  <c r="Q14" i="49" a="1"/>
  <c r="N20" i="47" a="1"/>
  <c r="N29" i="47" a="1"/>
  <c r="M91" i="47" a="1"/>
  <c r="M58" i="47" a="1"/>
  <c r="X10" i="49" a="1"/>
  <c r="U23" i="49" a="1"/>
  <c r="P95" i="47" a="1"/>
  <c r="M86" i="47" a="1"/>
  <c r="Q2" i="49" a="1"/>
  <c r="S6" i="49" a="1"/>
  <c r="U17" i="49" a="1"/>
  <c r="Y26" i="49" a="1"/>
  <c r="L106" i="47" a="1"/>
  <c r="N108" i="47" a="1"/>
  <c r="N74" i="47" a="1"/>
  <c r="U6" i="49" a="1"/>
  <c r="O47" i="47" a="1"/>
  <c r="Y5" i="49" a="1"/>
  <c r="R15" i="49" a="1"/>
  <c r="L90" i="47" a="1"/>
  <c r="P24" i="49" a="1"/>
  <c r="O46" i="47" a="1"/>
  <c r="O80" i="47" a="1"/>
  <c r="R7" i="49" a="1"/>
  <c r="M63" i="47" a="1"/>
  <c r="M16" i="47" a="1"/>
  <c r="P27" i="47" a="1"/>
  <c r="M28" i="47" a="1"/>
  <c r="O69" i="47" a="1"/>
  <c r="L83" i="47" a="1"/>
  <c r="W10" i="49" a="1"/>
  <c r="V17" i="49" a="1"/>
  <c r="M97" i="47" a="1"/>
  <c r="Q7" i="49" a="1"/>
  <c r="N48" i="47" a="1"/>
  <c r="L96" i="47" a="1"/>
  <c r="S11" i="49" a="1"/>
  <c r="P6" i="49" a="1"/>
  <c r="P104" i="47" a="1"/>
  <c r="W23" i="49" a="1"/>
  <c r="T21" i="49" a="1"/>
  <c r="M100" i="47" a="1"/>
  <c r="L67" i="47" a="1"/>
  <c r="U21" i="49" a="1"/>
  <c r="U18" i="49" a="1"/>
  <c r="R19" i="49" a="1"/>
  <c r="P110" i="47" a="1"/>
  <c r="Q11" i="49" a="1"/>
  <c r="P33" i="47" a="1"/>
  <c r="P17" i="49" a="1"/>
  <c r="L81" i="47" a="1"/>
  <c r="X15" i="49" a="1"/>
  <c r="O97" i="47" a="1"/>
  <c r="O27" i="47" a="1"/>
  <c r="X19" i="49" a="1"/>
  <c r="W6" i="49" a="1"/>
  <c r="N78" i="47" a="1"/>
  <c r="V12" i="49" a="1"/>
  <c r="Y23" i="49" a="1"/>
  <c r="P101" i="47" a="1"/>
  <c r="N59" i="47" a="1"/>
  <c r="L19" i="47" a="1"/>
  <c r="P6" i="47" a="1"/>
  <c r="O2" i="49" a="1"/>
  <c r="L88" i="47" a="1"/>
  <c r="V6" i="49" a="1"/>
  <c r="N86" i="47" a="1"/>
  <c r="S23" i="49" a="1"/>
  <c r="L38" i="47" a="1"/>
  <c r="P105" i="47" a="1"/>
  <c r="O13" i="47" a="1"/>
  <c r="P97" i="47" a="1"/>
  <c r="P3" i="49" a="1"/>
  <c r="O37" i="47" a="1"/>
  <c r="X26" i="49" a="1"/>
  <c r="N18" i="47" a="1"/>
  <c r="M82" i="47" a="1"/>
  <c r="X11" i="49" a="1"/>
  <c r="L95" i="47" a="1"/>
  <c r="N26" i="47" a="1"/>
  <c r="L65" i="47" a="1"/>
  <c r="V4" i="49" a="1"/>
  <c r="L24" i="47" a="1"/>
  <c r="L42" i="47" a="1"/>
  <c r="M64" i="47" a="1"/>
  <c r="N101" i="47" a="1"/>
  <c r="O53" i="47" a="1"/>
  <c r="U22" i="49" a="1"/>
  <c r="N54" i="47" a="1"/>
  <c r="P80" i="47" a="1"/>
  <c r="L92" i="47" a="1"/>
  <c r="M32" i="47" a="1"/>
  <c r="O51" i="47" a="1"/>
  <c r="O63" i="47" a="1"/>
  <c r="N105" i="47" a="1"/>
  <c r="M72" i="47" a="1"/>
  <c r="R8" i="49" a="1"/>
  <c r="Y15" i="49" a="1"/>
  <c r="N38" i="47" a="1"/>
  <c r="L20" i="47" a="1"/>
  <c r="N106" i="47" a="1"/>
  <c r="M36" i="47" a="1"/>
  <c r="T18" i="49" a="1"/>
  <c r="P14" i="49" a="1"/>
  <c r="P75" i="47" a="1"/>
  <c r="T22" i="49" a="1"/>
  <c r="N45" i="47" a="1"/>
  <c r="L21" i="47" a="1"/>
  <c r="P71" i="47" a="1"/>
  <c r="M51" i="47" a="1"/>
  <c r="N55" i="47" a="1"/>
  <c r="M93" i="47" a="1"/>
  <c r="W17" i="49" a="1"/>
  <c r="M61" i="47" a="1"/>
  <c r="M17" i="47" a="1"/>
  <c r="X6" i="49" a="1"/>
  <c r="Q21" i="49" a="1"/>
  <c r="L34" i="47" a="1"/>
  <c r="M24" i="47" a="1"/>
  <c r="P26" i="49" a="1"/>
  <c r="R24" i="49" a="1"/>
  <c r="N8" i="47" a="1"/>
  <c r="N40" i="47" a="1"/>
  <c r="Q20" i="49" a="1"/>
  <c r="O16" i="47" a="1"/>
  <c r="L76" i="47" a="1"/>
  <c r="M89" i="47" a="1"/>
  <c r="V14" i="49" a="1"/>
  <c r="S9" i="49" a="1"/>
  <c r="T26" i="49" a="1"/>
  <c r="M33" i="47" a="1"/>
  <c r="O83" i="47" a="1"/>
  <c r="N85" i="47" a="1"/>
  <c r="P84" i="47" a="1"/>
  <c r="M74" i="47" a="1"/>
  <c r="O39" i="47" a="1"/>
  <c r="P81" i="47" a="1"/>
  <c r="L26" i="47" a="1"/>
  <c r="O18" i="49" a="1"/>
  <c r="T13" i="49" a="1"/>
  <c r="L22" i="47" a="1"/>
  <c r="Q3" i="49" a="1"/>
  <c r="N97" i="47" a="1"/>
  <c r="N98" i="47" a="1"/>
  <c r="L30" i="47" a="1"/>
  <c r="N71" i="47" a="1"/>
  <c r="M38" i="47" a="1"/>
  <c r="O98" i="47" a="1"/>
  <c r="R20" i="49" a="1"/>
  <c r="O20" i="47" a="1"/>
  <c r="R11" i="49" a="1"/>
  <c r="O48" i="47" a="1"/>
  <c r="N14" i="47" a="1"/>
  <c r="P19" i="47" a="1"/>
  <c r="L98" i="47" a="1"/>
  <c r="N95" i="47" a="1"/>
  <c r="L46" i="47" a="1"/>
  <c r="P20" i="47" a="1"/>
  <c r="Y3" i="49" a="1"/>
  <c r="U3" i="49" a="1"/>
  <c r="L91" i="47" a="1"/>
  <c r="T15" i="49" a="1"/>
  <c r="O13" i="49" a="1"/>
  <c r="L11" i="47" a="1"/>
  <c r="X24" i="49" a="1"/>
  <c r="Y14" i="49" a="1"/>
  <c r="N111" i="47" a="1"/>
  <c r="V22" i="49" a="1"/>
  <c r="Y12" i="49" a="1"/>
  <c r="O77" i="47" a="1"/>
  <c r="U25" i="49" a="1"/>
  <c r="O10" i="47" a="1"/>
  <c r="L39" i="47" a="1"/>
  <c r="P22" i="49" a="1"/>
  <c r="S7" i="49" a="1"/>
  <c r="M47" i="47" a="1"/>
  <c r="O87" i="47" a="1"/>
  <c r="Y24" i="49" a="1"/>
  <c r="M85" i="47" a="1"/>
  <c r="N67" i="47" a="1"/>
  <c r="O16" i="49" a="1"/>
  <c r="Q12" i="49" a="1"/>
  <c r="Q24" i="49" a="1"/>
  <c r="P11" i="47" a="1"/>
  <c r="L6" i="47" a="1"/>
  <c r="O86" i="47" a="1"/>
  <c r="W20" i="49" a="1"/>
  <c r="Y19" i="49" a="1"/>
  <c r="S14" i="49" a="1"/>
  <c r="U11" i="49" a="1"/>
  <c r="L101" i="47" a="1"/>
  <c r="O18" i="47" a="1"/>
  <c r="P79" i="47" a="1"/>
  <c r="M83" i="47" a="1"/>
  <c r="M55" i="47" a="1"/>
  <c r="M44" i="47" a="1"/>
  <c r="Q19" i="49" a="1"/>
  <c r="N33" i="47" a="1"/>
  <c r="W13" i="49" a="1"/>
  <c r="O67" i="47" a="1"/>
  <c r="P72" i="47" a="1"/>
  <c r="L12" i="47" a="1"/>
  <c r="P28" i="47" a="1"/>
  <c r="T4" i="49" a="1"/>
  <c r="L15" i="47" a="1"/>
  <c r="P107" i="47" a="1"/>
  <c r="S20" i="49" a="1"/>
  <c r="O20" i="49" a="1"/>
  <c r="P20" i="49" a="1"/>
  <c r="P2" i="47" a="1"/>
  <c r="T11" i="49" a="1"/>
  <c r="V7" i="49" a="1"/>
  <c r="O5" i="49" a="1"/>
  <c r="N63" i="47" a="1"/>
  <c r="M6" i="47" a="1"/>
  <c r="P82" i="47" a="1"/>
  <c r="N61" i="47" a="1"/>
  <c r="M87" i="47" a="1"/>
  <c r="Y8" i="49" a="1"/>
  <c r="M71" i="47" a="1"/>
  <c r="O42" i="47" a="1"/>
  <c r="L35" i="47" a="1"/>
  <c r="S16" i="49" a="1"/>
  <c r="M41" i="47" a="1"/>
  <c r="R18" i="49" a="1"/>
  <c r="X17" i="49" a="1"/>
  <c r="N99" i="47" a="1"/>
  <c r="L71" i="47" a="1"/>
  <c r="M39" i="47" a="1"/>
  <c r="P12" i="47" a="1"/>
  <c r="U10" i="49" a="1"/>
  <c r="P45" i="47" a="1"/>
  <c r="P96" i="47" a="1"/>
  <c r="M5" i="47" a="1"/>
  <c r="O26" i="49" a="1"/>
  <c r="M94" i="47" a="1"/>
  <c r="L93" i="47" a="1"/>
  <c r="L3" i="47" a="1"/>
  <c r="P76" i="47" a="1"/>
  <c r="P87" i="47" a="1"/>
  <c r="S25" i="49" a="1"/>
  <c r="O21" i="49" a="1"/>
  <c r="O88" i="47" a="1"/>
  <c r="P56" i="47" a="1"/>
  <c r="L31" i="47" a="1"/>
  <c r="L79" i="47" a="1"/>
  <c r="P91" i="47" a="1"/>
  <c r="O72" i="47" a="1"/>
  <c r="L89" i="47" a="1"/>
  <c r="Q16" i="49" a="1"/>
  <c r="Y6" i="49" a="1"/>
  <c r="M11" i="47" a="1"/>
  <c r="N53" i="47" a="1"/>
  <c r="N32" i="47" a="1"/>
  <c r="W18" i="49" a="1"/>
  <c r="U14" i="49" a="1"/>
  <c r="R9" i="49" a="1"/>
  <c r="R12" i="49" a="1"/>
  <c r="P78" i="47" a="1"/>
  <c r="L72" i="47" a="1"/>
  <c r="P100" i="47" a="1"/>
  <c r="M7" i="47" a="1"/>
  <c r="P21" i="49" a="1"/>
  <c r="P18" i="47" a="1"/>
  <c r="O36" i="47" a="1"/>
  <c r="M10" i="47" a="1"/>
  <c r="N3" i="47" a="1"/>
  <c r="O15" i="47" a="1"/>
  <c r="N69" i="47" a="1"/>
  <c r="M50" i="47" a="1"/>
  <c r="P86" i="47" a="1"/>
  <c r="L8" i="47" a="1"/>
  <c r="O9" i="47" a="1"/>
  <c r="P9" i="47" a="1"/>
  <c r="L84" i="47" a="1"/>
  <c r="N96" i="47" a="1"/>
  <c r="X20" i="49" a="1"/>
  <c r="S17" i="49" a="1"/>
  <c r="P17" i="47" a="1"/>
  <c r="R14" i="49" a="1"/>
  <c r="M95" i="47" a="1"/>
  <c r="M35" i="47" a="1"/>
  <c r="V24" i="49" a="1"/>
  <c r="P62" i="47" a="1"/>
  <c r="M13" i="47" a="1"/>
  <c r="O23" i="49" a="1"/>
  <c r="L48" i="47" a="1"/>
  <c r="O62" i="47" a="1"/>
  <c r="L9" i="47" a="1"/>
  <c r="O93" i="47" a="1"/>
  <c r="O31" i="47" a="1"/>
  <c r="W24" i="49" a="1"/>
  <c r="L61" i="47" a="1"/>
  <c r="L33" i="47" a="1"/>
  <c r="P39" i="47" a="1"/>
  <c r="P38" i="47" a="1"/>
  <c r="M18" i="47" a="1"/>
  <c r="Y17" i="49" a="1"/>
  <c r="N34" i="47" a="1"/>
  <c r="P8" i="49" a="1"/>
  <c r="O92" i="47" a="1"/>
  <c r="N60" i="47" a="1"/>
  <c r="N30" i="47" a="1"/>
  <c r="P69" i="47" a="1"/>
  <c r="O30" i="47" a="1"/>
  <c r="P63" i="47" a="1"/>
  <c r="L82" i="47" a="1"/>
  <c r="N6" i="47" a="1"/>
  <c r="M19" i="47" a="1"/>
  <c r="M69" i="47" a="1"/>
  <c r="O17" i="47" a="1"/>
  <c r="X25" i="49" a="1"/>
  <c r="O43" i="47" a="1"/>
  <c r="L37" i="47" a="1"/>
  <c r="N107" i="47" a="1"/>
  <c r="P15" i="49" a="1"/>
  <c r="L45" i="47" a="1"/>
  <c r="P15" i="47" a="1"/>
  <c r="N72" i="47" a="1"/>
  <c r="M59" i="47" a="1"/>
  <c r="P47" i="47" a="1"/>
  <c r="U12" i="49" a="1"/>
  <c r="L50" i="47" a="1"/>
  <c r="W21" i="49" a="1"/>
  <c r="L87" i="47" a="1"/>
  <c r="M75" i="47" a="1"/>
  <c r="N17" i="47" a="1"/>
  <c r="L109" i="47" a="1"/>
  <c r="N65" i="47" a="1"/>
  <c r="L68" i="47" a="1"/>
  <c r="L58" i="47" a="1"/>
  <c r="N47" i="47" a="1"/>
  <c r="O12" i="47" a="1"/>
  <c r="M22" i="47" a="1"/>
  <c r="T12" i="49" a="1"/>
  <c r="N68" i="47" a="1"/>
  <c r="P26" i="47" a="1"/>
  <c r="P25" i="47" a="1"/>
  <c r="L103" i="47" a="1"/>
  <c r="M79" i="47" a="1"/>
  <c r="P25" i="49" a="1"/>
  <c r="L85" i="47" a="1"/>
  <c r="R17" i="49" a="1"/>
  <c r="V2" i="49" a="1"/>
  <c r="P106" i="47" a="1"/>
  <c r="Q9" i="49" a="1"/>
  <c r="O11" i="49" a="1"/>
  <c r="U16" i="49" a="1"/>
  <c r="N49" i="47" a="1"/>
  <c r="L111" i="47" a="1"/>
  <c r="O4" i="49" a="1"/>
  <c r="O28" i="47" a="1"/>
  <c r="O22" i="49" a="1"/>
  <c r="O8" i="47" a="1"/>
  <c r="P31" i="47" a="1"/>
  <c r="T9" i="49" a="1"/>
  <c r="O78" i="47" a="1"/>
  <c r="N46" i="47" a="1"/>
  <c r="N5" i="47" a="1"/>
  <c r="T25" i="49" a="1"/>
  <c r="P57" i="47" a="1"/>
  <c r="P11" i="49" a="1"/>
  <c r="U5" i="49" a="1"/>
  <c r="M48" i="47" a="1"/>
  <c r="O75" i="47" a="1"/>
  <c r="O90" i="47" a="1"/>
  <c r="W9" i="49" a="1"/>
  <c r="O34" i="47" a="1"/>
  <c r="N23" i="47" a="1"/>
  <c r="M81" i="47" a="1"/>
  <c r="P46" i="47" a="1"/>
  <c r="O50" i="47" a="1"/>
  <c r="P19" i="49" a="1"/>
  <c r="L56" i="47" a="1"/>
  <c r="R5" i="49" a="1"/>
  <c r="O81" i="47" a="1"/>
  <c r="W16" i="49" a="1"/>
  <c r="V26" i="49" a="1"/>
  <c r="L13" i="47" a="1"/>
  <c r="V3" i="49" a="1"/>
  <c r="P64" i="47" a="1"/>
  <c r="N91" i="47" a="1"/>
  <c r="X7" i="49" a="1"/>
  <c r="W25" i="49" a="1"/>
  <c r="V19" i="49" a="1"/>
  <c r="P70" i="47" a="1"/>
  <c r="L51" i="47" a="1"/>
  <c r="Y2" i="49" a="1"/>
  <c r="O15" i="49" a="1"/>
  <c r="L55" i="47" a="1"/>
  <c r="P53" i="47" a="1"/>
  <c r="N15" i="47" a="1"/>
  <c r="M102" i="47" a="1"/>
  <c r="N42" i="47" a="1"/>
  <c r="N81" i="47" a="1"/>
  <c r="P7" i="47" a="1"/>
  <c r="N13" i="47" a="1"/>
  <c r="P77" i="47" a="1"/>
  <c r="Q18" i="49" a="1"/>
  <c r="P108" i="47" a="1"/>
  <c r="P52" i="47" a="1"/>
  <c r="N51" i="47" a="1"/>
  <c r="L59" i="47" a="1"/>
  <c r="U2" i="49" a="1"/>
  <c r="N94" i="47" a="1"/>
  <c r="U13" i="49" a="1"/>
  <c r="N104" i="47" a="1"/>
  <c r="M65" i="47" a="1"/>
  <c r="X8" i="49" a="1"/>
  <c r="M104" i="47" a="1"/>
  <c r="P29" i="47" a="1"/>
  <c r="M34" i="47" a="1"/>
  <c r="O19" i="49" a="1"/>
  <c r="P35" i="47" a="1"/>
  <c r="L32" i="47" a="1"/>
  <c r="N2" i="47" a="1"/>
  <c r="Q10" i="49" a="1"/>
  <c r="O14" i="49" a="1"/>
  <c r="M106" i="47" a="1"/>
  <c r="P58" i="47" a="1"/>
  <c r="L27" i="47" a="1"/>
  <c r="L94" i="47" a="1"/>
  <c r="P73" i="47" a="1"/>
  <c r="M77" i="47" a="1"/>
  <c r="L17" i="47" a="1"/>
  <c r="X23" i="49" a="1"/>
  <c r="N37" i="47" a="1"/>
  <c r="Y16" i="49" a="1"/>
  <c r="O17" i="49" a="1"/>
  <c r="O10" i="49" a="1"/>
  <c r="T17" i="49" a="1"/>
  <c r="O61" i="47" a="1"/>
  <c r="M37" i="47" a="1"/>
  <c r="P94" i="47" a="1"/>
  <c r="V25" i="49" a="1"/>
  <c r="O96" i="47" a="1"/>
  <c r="S2" i="49" a="1"/>
  <c r="L63" i="47" a="1"/>
  <c r="L99" i="47" a="1"/>
  <c r="N56" i="47" a="1"/>
  <c r="Q4" i="49" a="1"/>
  <c r="Y13" i="49" a="1"/>
  <c r="L52" i="47" a="1"/>
  <c r="V11" i="49" a="1"/>
  <c r="X2" i="49" a="1"/>
  <c r="L80" i="47" a="1"/>
  <c r="M23" i="47" a="1"/>
  <c r="N9" i="47" a="1"/>
  <c r="O84" i="47" a="1"/>
  <c r="X21" i="49" a="1"/>
  <c r="L57" i="47" a="1"/>
  <c r="O79" i="47" a="1"/>
  <c r="O49" i="47" a="1"/>
  <c r="O64" i="47" a="1"/>
  <c r="P16" i="49" a="1"/>
  <c r="Q13" i="49" a="1"/>
  <c r="N62" i="47" a="1"/>
  <c r="Y11" i="49" a="1"/>
  <c r="T8" i="49" a="1"/>
  <c r="X13" i="49" a="1"/>
  <c r="V8" i="49" a="1"/>
  <c r="L108" i="47" a="1"/>
  <c r="N31" i="47" a="1"/>
  <c r="M31" i="47" a="1"/>
  <c r="M98" i="47" a="1"/>
  <c r="P50" i="47" a="1"/>
  <c r="O22" i="47" a="1"/>
  <c r="P48" i="47" a="1"/>
  <c r="P83" i="47" a="1"/>
  <c r="R6" i="49" a="1"/>
  <c r="N41" i="47" a="1"/>
  <c r="S13" i="49" a="1"/>
  <c r="L53" i="47" a="1"/>
  <c r="O91" i="47" a="1"/>
  <c r="N4" i="47" a="1"/>
  <c r="O55" i="47" a="1"/>
  <c r="N84" i="47" a="1"/>
  <c r="O52" i="47" a="1"/>
  <c r="P68" i="47" a="1"/>
  <c r="P88" i="47" a="1"/>
  <c r="U9" i="49" a="1"/>
  <c r="O14" i="47" a="1"/>
  <c r="T10" i="49" a="1"/>
  <c r="T20" i="49" a="1"/>
  <c r="X4" i="49" a="1"/>
  <c r="P85" i="47" a="1"/>
  <c r="M2" i="47" a="1"/>
  <c r="P14" i="47" a="1"/>
  <c r="O65" i="47" a="1"/>
  <c r="N92" i="47" a="1"/>
  <c r="P16" i="47" a="1"/>
  <c r="L5" i="47" a="1"/>
  <c r="L41" i="47" a="1"/>
  <c r="N80" i="47" a="1"/>
  <c r="M101" i="47" a="1"/>
  <c r="S26" i="49" a="1"/>
  <c r="X16" i="49" a="1"/>
  <c r="U15" i="49" a="1"/>
  <c r="O26" i="47" a="1"/>
  <c r="P10" i="47" a="1"/>
  <c r="V10" i="49" a="1"/>
  <c r="N25" i="47" a="1"/>
  <c r="Q6" i="49" a="1"/>
  <c r="Q15" i="49" a="1"/>
  <c r="T7" i="49" a="1"/>
  <c r="S21" i="49" a="1"/>
  <c r="R23" i="49" a="1"/>
  <c r="M109" i="47" a="1"/>
  <c r="R21" i="49" a="1"/>
  <c r="N35" i="47" a="1"/>
  <c r="N93" i="47" a="1"/>
  <c r="L78" i="47" a="1"/>
  <c r="M99" i="47" a="1"/>
  <c r="N50" i="47" a="1"/>
  <c r="L25" i="47" a="1"/>
  <c r="U8" i="49" a="1"/>
  <c r="N83" i="47" a="1"/>
  <c r="M49" i="47" a="1"/>
  <c r="O25" i="49" a="1"/>
  <c r="N64" i="47" a="1"/>
  <c r="V18" i="49" a="1"/>
  <c r="S19" i="49" a="1"/>
  <c r="O85" i="47" a="1"/>
  <c r="M108" i="47" a="1"/>
  <c r="L43" i="47" a="1"/>
  <c r="V7" i="49" l="1"/>
  <c r="H19" i="44" s="1"/>
  <c r="U26" i="49"/>
  <c r="G38" i="44" s="1"/>
  <c r="O19" i="49"/>
  <c r="A31" i="44" s="1"/>
  <c r="L104" i="47"/>
  <c r="A104" i="48" s="1"/>
  <c r="L53" i="47"/>
  <c r="A53" i="48" s="1"/>
  <c r="O25" i="47"/>
  <c r="C25" i="48" s="1"/>
  <c r="N8" i="47"/>
  <c r="B8" i="48" s="1"/>
  <c r="M78" i="47"/>
  <c r="L13" i="47"/>
  <c r="A13" i="48" s="1"/>
  <c r="L2" i="47"/>
  <c r="A2" i="48" s="1"/>
  <c r="X2" i="49"/>
  <c r="J14" i="44" s="1"/>
  <c r="O58" i="47"/>
  <c r="C58" i="48" s="1"/>
  <c r="O26" i="49"/>
  <c r="A38" i="44" s="1"/>
  <c r="P81" i="47"/>
  <c r="D81" i="48" s="1"/>
  <c r="Y7" i="49"/>
  <c r="K19" i="44" s="1"/>
  <c r="M24" i="47"/>
  <c r="T22" i="49"/>
  <c r="F34" i="44" s="1"/>
  <c r="O31" i="47"/>
  <c r="C31" i="48" s="1"/>
  <c r="M101" i="47"/>
  <c r="N93" i="47"/>
  <c r="B93" i="48" s="1"/>
  <c r="N65" i="47"/>
  <c r="B65" i="48" s="1"/>
  <c r="S4" i="49"/>
  <c r="E16" i="44" s="1"/>
  <c r="N18" i="47"/>
  <c r="B18" i="48" s="1"/>
  <c r="M83" i="47"/>
  <c r="P97" i="47"/>
  <c r="D97" i="48" s="1"/>
  <c r="L6" i="47"/>
  <c r="A6" i="48" s="1"/>
  <c r="V8" i="49"/>
  <c r="H20" i="44" s="1"/>
  <c r="M94" i="47"/>
  <c r="P93" i="47"/>
  <c r="D93" i="48" s="1"/>
  <c r="M76" i="47"/>
  <c r="O9" i="49"/>
  <c r="A21" i="44" s="1"/>
  <c r="O92" i="47"/>
  <c r="C92" i="48" s="1"/>
  <c r="N68" i="47"/>
  <c r="B68" i="48" s="1"/>
  <c r="P69" i="47"/>
  <c r="D69" i="48" s="1"/>
  <c r="N19" i="47"/>
  <c r="B19" i="48" s="1"/>
  <c r="Y17" i="49"/>
  <c r="K29" i="44" s="1"/>
  <c r="V11" i="49"/>
  <c r="H23" i="44" s="1"/>
  <c r="P5" i="49"/>
  <c r="B17" i="44" s="1"/>
  <c r="N110" i="47"/>
  <c r="B110" i="48" s="1"/>
  <c r="U2" i="49"/>
  <c r="G14" i="44" s="1"/>
  <c r="L92" i="47"/>
  <c r="A92" i="48" s="1"/>
  <c r="P44" i="47"/>
  <c r="D44" i="48" s="1"/>
  <c r="O5" i="47"/>
  <c r="C5" i="48" s="1"/>
  <c r="L50" i="47"/>
  <c r="A50" i="48" s="1"/>
  <c r="V16" i="49"/>
  <c r="H28" i="44" s="1"/>
  <c r="M59" i="47"/>
  <c r="N77" i="47"/>
  <c r="B77" i="48" s="1"/>
  <c r="O87" i="47"/>
  <c r="C87" i="48" s="1"/>
  <c r="L22" i="47"/>
  <c r="A22" i="48" s="1"/>
  <c r="L90" i="47"/>
  <c r="A90" i="48" s="1"/>
  <c r="V14" i="49"/>
  <c r="H26" i="44" s="1"/>
  <c r="T13" i="49"/>
  <c r="F25" i="44" s="1"/>
  <c r="W2" i="49"/>
  <c r="I14" i="44" s="1"/>
  <c r="U6" i="49"/>
  <c r="G18" i="44" s="1"/>
  <c r="O12" i="49"/>
  <c r="A24" i="44" s="1"/>
  <c r="L64" i="47"/>
  <c r="A64" i="48" s="1"/>
  <c r="P60" i="47"/>
  <c r="D60" i="48" s="1"/>
  <c r="O2" i="47"/>
  <c r="C2" i="48" s="1"/>
  <c r="L5" i="47"/>
  <c r="A5" i="48" s="1"/>
  <c r="O12" i="47"/>
  <c r="C12" i="48" s="1"/>
  <c r="U24" i="49"/>
  <c r="G36" i="44" s="1"/>
  <c r="M99" i="47"/>
  <c r="V10" i="49"/>
  <c r="H22" i="44" s="1"/>
  <c r="P3" i="49"/>
  <c r="B15" i="44" s="1"/>
  <c r="T9" i="49"/>
  <c r="F21" i="44" s="1"/>
  <c r="O2" i="49"/>
  <c r="A14" i="44" s="1"/>
  <c r="M11" i="44" s="1" a="1"/>
  <c r="M11" i="44" s="1"/>
  <c r="T23" i="49"/>
  <c r="F35" i="44" s="1"/>
  <c r="W12" i="49"/>
  <c r="I24" i="44" s="1"/>
  <c r="L36" i="47"/>
  <c r="A36" i="48" s="1"/>
  <c r="L31" i="47"/>
  <c r="A31" i="48" s="1"/>
  <c r="N48" i="47"/>
  <c r="B48" i="48" s="1"/>
  <c r="N37" i="47"/>
  <c r="B37" i="48" s="1"/>
  <c r="L49" i="47"/>
  <c r="A49" i="48" s="1"/>
  <c r="P8" i="47"/>
  <c r="D8" i="48" s="1"/>
  <c r="M3" i="47"/>
  <c r="M41" i="47"/>
  <c r="L54" i="47"/>
  <c r="A54" i="48" s="1"/>
  <c r="O42" i="47"/>
  <c r="C42" i="48" s="1"/>
  <c r="T20" i="49"/>
  <c r="F32" i="44" s="1"/>
  <c r="M7" i="47"/>
  <c r="P78" i="47"/>
  <c r="D78" i="48" s="1"/>
  <c r="P45" i="47"/>
  <c r="D45" i="48" s="1"/>
  <c r="M93" i="47"/>
  <c r="P28" i="47"/>
  <c r="D28" i="48" s="1"/>
  <c r="P43" i="47"/>
  <c r="D43" i="48" s="1"/>
  <c r="M14" i="47"/>
  <c r="P41" i="47"/>
  <c r="D41" i="48" s="1"/>
  <c r="M39" i="47"/>
  <c r="O23" i="47"/>
  <c r="C23" i="48" s="1"/>
  <c r="P17" i="47"/>
  <c r="D17" i="48" s="1"/>
  <c r="N58" i="47"/>
  <c r="B58" i="48" s="1"/>
  <c r="R2" i="49"/>
  <c r="D14" i="44" s="1"/>
  <c r="O18" i="49"/>
  <c r="A30" i="44" s="1"/>
  <c r="M5" i="47"/>
  <c r="U10" i="49"/>
  <c r="G22" i="44" s="1"/>
  <c r="P65" i="47"/>
  <c r="D65" i="48" s="1"/>
  <c r="X20" i="49"/>
  <c r="J32" i="44" s="1"/>
  <c r="M15" i="47"/>
  <c r="N92" i="47"/>
  <c r="B92" i="48" s="1"/>
  <c r="T10" i="49"/>
  <c r="F22" i="44" s="1"/>
  <c r="P109" i="47"/>
  <c r="D109" i="48" s="1"/>
  <c r="L83" i="47"/>
  <c r="A83" i="48" s="1"/>
  <c r="O24" i="49"/>
  <c r="A36" i="44" s="1"/>
  <c r="O3" i="47"/>
  <c r="C3" i="48" s="1"/>
  <c r="O18" i="47"/>
  <c r="C18" i="48" s="1"/>
  <c r="Q16" i="49"/>
  <c r="C28" i="44" s="1"/>
  <c r="W16" i="49"/>
  <c r="I28" i="44" s="1"/>
  <c r="S9" i="49"/>
  <c r="E21" i="44" s="1"/>
  <c r="R18" i="49"/>
  <c r="D30" i="44" s="1"/>
  <c r="R20" i="49"/>
  <c r="D32" i="44" s="1"/>
  <c r="O81" i="47"/>
  <c r="C81" i="48" s="1"/>
  <c r="O30" i="47"/>
  <c r="C30" i="48" s="1"/>
  <c r="P16" i="49"/>
  <c r="B28" i="44" s="1"/>
  <c r="M46" i="47"/>
  <c r="O75" i="47"/>
  <c r="C75" i="48" s="1"/>
  <c r="M60" i="47"/>
  <c r="R10" i="49"/>
  <c r="D22" i="44" s="1"/>
  <c r="R8" i="49"/>
  <c r="D20" i="44" s="1"/>
  <c r="S2" i="49"/>
  <c r="E14" i="44" s="1"/>
  <c r="M87" i="47"/>
  <c r="T11" i="49"/>
  <c r="F23" i="44" s="1"/>
  <c r="P9" i="49"/>
  <c r="B21" i="44" s="1"/>
  <c r="O61" i="47"/>
  <c r="C61" i="48" s="1"/>
  <c r="N53" i="47"/>
  <c r="B53" i="48" s="1"/>
  <c r="L94" i="47"/>
  <c r="A94" i="48" s="1"/>
  <c r="M29" i="47"/>
  <c r="Y10" i="49"/>
  <c r="K22" i="44" s="1"/>
  <c r="Q3" i="49"/>
  <c r="C15" i="44" s="1"/>
  <c r="M100" i="47"/>
  <c r="P71" i="47"/>
  <c r="D71" i="48" s="1"/>
  <c r="W5" i="49"/>
  <c r="I17" i="44" s="1"/>
  <c r="O15" i="47"/>
  <c r="C15" i="48" s="1"/>
  <c r="O32" i="47"/>
  <c r="C32" i="48" s="1"/>
  <c r="O39" i="47"/>
  <c r="C39" i="48" s="1"/>
  <c r="N23" i="47"/>
  <c r="B23" i="48" s="1"/>
  <c r="W4" i="49"/>
  <c r="I16" i="44" s="1"/>
  <c r="P75" i="47"/>
  <c r="D75" i="48" s="1"/>
  <c r="Q4" i="49"/>
  <c r="C16" i="44" s="1"/>
  <c r="L43" i="47"/>
  <c r="A43" i="48" s="1"/>
  <c r="N46" i="47"/>
  <c r="B46" i="48" s="1"/>
  <c r="P68" i="47"/>
  <c r="D68" i="48" s="1"/>
  <c r="W8" i="49"/>
  <c r="I20" i="44" s="1"/>
  <c r="P5" i="47"/>
  <c r="D5" i="48" s="1"/>
  <c r="M75" i="47"/>
  <c r="O13" i="47"/>
  <c r="C13" i="48" s="1"/>
  <c r="P11" i="47"/>
  <c r="D11" i="48" s="1"/>
  <c r="M92" i="47"/>
  <c r="N83" i="47"/>
  <c r="B83" i="48" s="1"/>
  <c r="M106" i="47"/>
  <c r="O19" i="47"/>
  <c r="C19" i="48" s="1"/>
  <c r="M30" i="47"/>
  <c r="P64" i="47"/>
  <c r="D64" i="48" s="1"/>
  <c r="Y5" i="49"/>
  <c r="K17" i="44" s="1"/>
  <c r="O64" i="47"/>
  <c r="C64" i="48" s="1"/>
  <c r="N66" i="47"/>
  <c r="B66" i="48" s="1"/>
  <c r="L71" i="47"/>
  <c r="A71" i="48" s="1"/>
  <c r="L32" i="47"/>
  <c r="A32" i="48" s="1"/>
  <c r="P74" i="47"/>
  <c r="D74" i="48" s="1"/>
  <c r="N96" i="47"/>
  <c r="B96" i="48" s="1"/>
  <c r="M77" i="47"/>
  <c r="P80" i="47"/>
  <c r="D80" i="48" s="1"/>
  <c r="O11" i="47"/>
  <c r="C11" i="48" s="1"/>
  <c r="O79" i="47"/>
  <c r="C79" i="48" s="1"/>
  <c r="V4" i="49"/>
  <c r="H16" i="44" s="1"/>
  <c r="V15" i="49"/>
  <c r="H27" i="44" s="1"/>
  <c r="R6" i="49"/>
  <c r="D18" i="44" s="1"/>
  <c r="P70" i="47"/>
  <c r="D70" i="48" s="1"/>
  <c r="S21" i="49"/>
  <c r="E33" i="44" s="1"/>
  <c r="O50" i="47"/>
  <c r="C50" i="48" s="1"/>
  <c r="P51" i="47"/>
  <c r="D51" i="48" s="1"/>
  <c r="P26" i="49"/>
  <c r="B38" i="44" s="1"/>
  <c r="M28" i="47"/>
  <c r="S12" i="49"/>
  <c r="E24" i="44" s="1"/>
  <c r="N74" i="47"/>
  <c r="B74" i="48" s="1"/>
  <c r="M8" i="47"/>
  <c r="M54" i="47"/>
  <c r="W26" i="49"/>
  <c r="I38" i="44" s="1"/>
  <c r="W14" i="49"/>
  <c r="I26" i="44" s="1"/>
  <c r="M104" i="47"/>
  <c r="L59" i="47"/>
  <c r="A59" i="48" s="1"/>
  <c r="L40" i="47"/>
  <c r="A40" i="48" s="1"/>
  <c r="O86" i="47"/>
  <c r="C86" i="48" s="1"/>
  <c r="O43" i="47"/>
  <c r="C43" i="48" s="1"/>
  <c r="P24" i="47"/>
  <c r="D24" i="48" s="1"/>
  <c r="M102" i="47"/>
  <c r="P6" i="47"/>
  <c r="D6" i="48" s="1"/>
  <c r="L67" i="47"/>
  <c r="A67" i="48" s="1"/>
  <c r="O33" i="47"/>
  <c r="C33" i="48" s="1"/>
  <c r="N28" i="47"/>
  <c r="B28" i="48" s="1"/>
  <c r="L100" i="47"/>
  <c r="A100" i="48" s="1"/>
  <c r="N6" i="47"/>
  <c r="B6" i="48" s="1"/>
  <c r="R15" i="49"/>
  <c r="D27" i="44" s="1"/>
  <c r="O10" i="49"/>
  <c r="A22" i="44" s="1"/>
  <c r="M21" i="47"/>
  <c r="N45" i="47"/>
  <c r="B45" i="48" s="1"/>
  <c r="L34" i="47"/>
  <c r="A34" i="48" s="1"/>
  <c r="O4" i="47"/>
  <c r="C4" i="48" s="1"/>
  <c r="N49" i="47"/>
  <c r="B49" i="48" s="1"/>
  <c r="X16" i="49"/>
  <c r="J28" i="44" s="1"/>
  <c r="N47" i="47"/>
  <c r="B47" i="48" s="1"/>
  <c r="S19" i="49"/>
  <c r="E31" i="44" s="1"/>
  <c r="U25" i="49"/>
  <c r="G37" i="44" s="1"/>
  <c r="L66" i="47"/>
  <c r="A66" i="48" s="1"/>
  <c r="T16" i="49"/>
  <c r="F28" i="44" s="1"/>
  <c r="N89" i="47"/>
  <c r="B89" i="48" s="1"/>
  <c r="M4" i="47"/>
  <c r="S5" i="49"/>
  <c r="E17" i="44" s="1"/>
  <c r="Q13" i="49"/>
  <c r="C25" i="44" s="1"/>
  <c r="P58" i="47"/>
  <c r="D58" i="48" s="1"/>
  <c r="O29" i="47"/>
  <c r="C29" i="48" s="1"/>
  <c r="M35" i="47"/>
  <c r="L21" i="47"/>
  <c r="A21" i="48" s="1"/>
  <c r="L47" i="47"/>
  <c r="A47" i="48" s="1"/>
  <c r="R14" i="49"/>
  <c r="D26" i="44" s="1"/>
  <c r="L70" i="47"/>
  <c r="A70" i="48" s="1"/>
  <c r="N9" i="47"/>
  <c r="B9" i="48" s="1"/>
  <c r="M48" i="47"/>
  <c r="W19" i="49"/>
  <c r="I31" i="44" s="1"/>
  <c r="N80" i="47"/>
  <c r="B80" i="48" s="1"/>
  <c r="O82" i="47"/>
  <c r="C82" i="48" s="1"/>
  <c r="X5" i="49"/>
  <c r="J17" i="44" s="1"/>
  <c r="S25" i="49"/>
  <c r="E37" i="44" s="1"/>
  <c r="N11" i="47"/>
  <c r="B11" i="48" s="1"/>
  <c r="P79" i="47"/>
  <c r="D79" i="48" s="1"/>
  <c r="L101" i="47"/>
  <c r="A101" i="48" s="1"/>
  <c r="P94" i="47"/>
  <c r="D94" i="48" s="1"/>
  <c r="P90" i="47"/>
  <c r="D90" i="48" s="1"/>
  <c r="Y4" i="49"/>
  <c r="K16" i="44" s="1"/>
  <c r="M47" i="47"/>
  <c r="Y12" i="49"/>
  <c r="K24" i="44" s="1"/>
  <c r="N7" i="47"/>
  <c r="B7" i="48" s="1"/>
  <c r="P95" i="47"/>
  <c r="D95" i="48" s="1"/>
  <c r="L3" i="47"/>
  <c r="A3" i="48" s="1"/>
  <c r="P2" i="49"/>
  <c r="B14" i="44" s="1"/>
  <c r="L33" i="47"/>
  <c r="A33" i="48" s="1"/>
  <c r="M20" i="47"/>
  <c r="T6" i="49"/>
  <c r="F18" i="44" s="1"/>
  <c r="M72" i="47"/>
  <c r="O65" i="47"/>
  <c r="C65" i="48" s="1"/>
  <c r="N61" i="47"/>
  <c r="B61" i="48" s="1"/>
  <c r="P2" i="47"/>
  <c r="D2" i="48" s="1"/>
  <c r="P38" i="47"/>
  <c r="D38" i="48" s="1"/>
  <c r="L46" i="47"/>
  <c r="A46" i="48" s="1"/>
  <c r="U14" i="49"/>
  <c r="G26" i="44" s="1"/>
  <c r="U12" i="49"/>
  <c r="G24" i="44" s="1"/>
  <c r="L97" i="47"/>
  <c r="A97" i="48" s="1"/>
  <c r="O70" i="47"/>
  <c r="C70" i="48" s="1"/>
  <c r="Q10" i="49"/>
  <c r="C22" i="44" s="1"/>
  <c r="L45" i="47"/>
  <c r="A45" i="48" s="1"/>
  <c r="M98" i="47"/>
  <c r="T15" i="49"/>
  <c r="F27" i="44" s="1"/>
  <c r="Y18" i="49"/>
  <c r="K30" i="44" s="1"/>
  <c r="L26" i="47"/>
  <c r="A26" i="48" s="1"/>
  <c r="M74" i="47"/>
  <c r="M89" i="47"/>
  <c r="O89" i="47"/>
  <c r="C89" i="48" s="1"/>
  <c r="P14" i="49"/>
  <c r="B26" i="44" s="1"/>
  <c r="M34" i="47"/>
  <c r="L99" i="47"/>
  <c r="A99" i="48" s="1"/>
  <c r="P16" i="47"/>
  <c r="D16" i="48" s="1"/>
  <c r="R17" i="49"/>
  <c r="D29" i="44" s="1"/>
  <c r="N84" i="47"/>
  <c r="B84" i="48" s="1"/>
  <c r="O80" i="47"/>
  <c r="C80" i="48" s="1"/>
  <c r="L28" i="47"/>
  <c r="A28" i="48" s="1"/>
  <c r="P105" i="47"/>
  <c r="D105" i="48" s="1"/>
  <c r="Q24" i="49"/>
  <c r="C36" i="44" s="1"/>
  <c r="N34" i="47"/>
  <c r="B34" i="48" s="1"/>
  <c r="O69" i="47"/>
  <c r="C69" i="48" s="1"/>
  <c r="X19" i="49"/>
  <c r="J31" i="44" s="1"/>
  <c r="Q11" i="49"/>
  <c r="C23" i="44" s="1"/>
  <c r="P86" i="47"/>
  <c r="D86" i="48" s="1"/>
  <c r="P49" i="47"/>
  <c r="D49" i="48" s="1"/>
  <c r="P25" i="47"/>
  <c r="D25" i="48" s="1"/>
  <c r="O14" i="49"/>
  <c r="A26" i="44" s="1"/>
  <c r="L23" i="47"/>
  <c r="A23" i="48" s="1"/>
  <c r="N50" i="47"/>
  <c r="B50" i="48" s="1"/>
  <c r="L61" i="47"/>
  <c r="A61" i="48" s="1"/>
  <c r="O41" i="47"/>
  <c r="C41" i="48" s="1"/>
  <c r="O11" i="49"/>
  <c r="A23" i="44" s="1"/>
  <c r="O14" i="47"/>
  <c r="C14" i="48" s="1"/>
  <c r="N54" i="47"/>
  <c r="B54" i="48" s="1"/>
  <c r="Y24" i="49"/>
  <c r="K36" i="44" s="1"/>
  <c r="L80" i="47"/>
  <c r="A80" i="48" s="1"/>
  <c r="L12" i="47"/>
  <c r="A12" i="48" s="1"/>
  <c r="O6" i="47"/>
  <c r="C6" i="48" s="1"/>
  <c r="R23" i="49"/>
  <c r="D35" i="44" s="1"/>
  <c r="N97" i="47"/>
  <c r="B97" i="48" s="1"/>
  <c r="P24" i="49"/>
  <c r="B36" i="44" s="1"/>
  <c r="O6" i="49"/>
  <c r="A18" i="44" s="1"/>
  <c r="R4" i="49"/>
  <c r="D16" i="44" s="1"/>
  <c r="T21" i="49"/>
  <c r="F33" i="44" s="1"/>
  <c r="L98" i="47"/>
  <c r="A98" i="48" s="1"/>
  <c r="L44" i="47"/>
  <c r="A44" i="48" s="1"/>
  <c r="N108" i="47"/>
  <c r="B108" i="48" s="1"/>
  <c r="L57" i="47"/>
  <c r="A57" i="48" s="1"/>
  <c r="T5" i="49"/>
  <c r="F17" i="44" s="1"/>
  <c r="P99" i="47"/>
  <c r="D99" i="48" s="1"/>
  <c r="O7" i="47"/>
  <c r="C7" i="48" s="1"/>
  <c r="X8" i="49"/>
  <c r="J20" i="44" s="1"/>
  <c r="L48" i="47"/>
  <c r="A48" i="48" s="1"/>
  <c r="M56" i="47"/>
  <c r="V9" i="49"/>
  <c r="H21" i="44" s="1"/>
  <c r="Q2" i="49"/>
  <c r="C14" i="44" s="1"/>
  <c r="O55" i="47"/>
  <c r="C55" i="48" s="1"/>
  <c r="M11" i="47"/>
  <c r="L19" i="47"/>
  <c r="A19" i="48" s="1"/>
  <c r="S17" i="49"/>
  <c r="E29" i="44" s="1"/>
  <c r="N107" i="47"/>
  <c r="B107" i="48" s="1"/>
  <c r="P91" i="47"/>
  <c r="D91" i="48" s="1"/>
  <c r="M37" i="47"/>
  <c r="O57" i="47"/>
  <c r="C57" i="48" s="1"/>
  <c r="M69" i="47"/>
  <c r="O47" i="47"/>
  <c r="C47" i="48" s="1"/>
  <c r="N102" i="47"/>
  <c r="B102" i="48" s="1"/>
  <c r="U23" i="49"/>
  <c r="G35" i="44" s="1"/>
  <c r="Q21" i="49"/>
  <c r="C33" i="44" s="1"/>
  <c r="L86" i="47"/>
  <c r="A86" i="48" s="1"/>
  <c r="P57" i="47"/>
  <c r="D57" i="48" s="1"/>
  <c r="N3" i="47"/>
  <c r="B3" i="48" s="1"/>
  <c r="P106" i="47"/>
  <c r="D106" i="48" s="1"/>
  <c r="Q18" i="49"/>
  <c r="C30" i="44" s="1"/>
  <c r="Q5" i="49"/>
  <c r="C17" i="44" s="1"/>
  <c r="N78" i="47"/>
  <c r="B78" i="48" s="1"/>
  <c r="L65" i="47"/>
  <c r="A65" i="48" s="1"/>
  <c r="L7" i="47"/>
  <c r="A7" i="48" s="1"/>
  <c r="M52" i="47"/>
  <c r="L96" i="47"/>
  <c r="A96" i="48" s="1"/>
  <c r="M57" i="47"/>
  <c r="Q26" i="49"/>
  <c r="C38" i="44" s="1"/>
  <c r="S10" i="49"/>
  <c r="E22" i="44" s="1"/>
  <c r="X7" i="49"/>
  <c r="J19" i="44" s="1"/>
  <c r="Q7" i="49"/>
  <c r="C19" i="44" s="1"/>
  <c r="P21" i="47"/>
  <c r="D21" i="48" s="1"/>
  <c r="L56" i="47"/>
  <c r="A56" i="48" s="1"/>
  <c r="O60" i="47"/>
  <c r="C60" i="48" s="1"/>
  <c r="N2" i="47"/>
  <c r="B2" i="48" s="1"/>
  <c r="S16" i="49"/>
  <c r="E28" i="44" s="1"/>
  <c r="V13" i="49"/>
  <c r="H25" i="44" s="1"/>
  <c r="O36" i="47"/>
  <c r="C36" i="48" s="1"/>
  <c r="N87" i="47"/>
  <c r="B87" i="48" s="1"/>
  <c r="Q17" i="49"/>
  <c r="C29" i="44" s="1"/>
  <c r="M95" i="47"/>
  <c r="L14" i="47"/>
  <c r="A14" i="48" s="1"/>
  <c r="N73" i="47"/>
  <c r="B73" i="48" s="1"/>
  <c r="U11" i="49"/>
  <c r="G23" i="44" s="1"/>
  <c r="L55" i="47"/>
  <c r="A55" i="48" s="1"/>
  <c r="L25" i="47"/>
  <c r="A25" i="48" s="1"/>
  <c r="R24" i="49"/>
  <c r="D36" i="44" s="1"/>
  <c r="S7" i="49"/>
  <c r="E19" i="44" s="1"/>
  <c r="V22" i="49"/>
  <c r="H34" i="44" s="1"/>
  <c r="O73" i="47"/>
  <c r="C73" i="48" s="1"/>
  <c r="O66" i="47"/>
  <c r="C66" i="48" s="1"/>
  <c r="O98" i="47"/>
  <c r="C98" i="48" s="1"/>
  <c r="O44" i="47"/>
  <c r="C44" i="48" s="1"/>
  <c r="O17" i="49"/>
  <c r="A29" i="44" s="1"/>
  <c r="M68" i="47"/>
  <c r="N100" i="47"/>
  <c r="B100" i="48" s="1"/>
  <c r="N105" i="47"/>
  <c r="B105" i="48" s="1"/>
  <c r="P14" i="47"/>
  <c r="D14" i="48" s="1"/>
  <c r="P82" i="47"/>
  <c r="D82" i="48" s="1"/>
  <c r="P20" i="49"/>
  <c r="B32" i="44" s="1"/>
  <c r="T7" i="49"/>
  <c r="F19" i="44" s="1"/>
  <c r="N32" i="47"/>
  <c r="B32" i="48" s="1"/>
  <c r="O78" i="47"/>
  <c r="C78" i="48" s="1"/>
  <c r="S13" i="49"/>
  <c r="E25" i="44" s="1"/>
  <c r="O54" i="47"/>
  <c r="C54" i="48" s="1"/>
  <c r="P11" i="49"/>
  <c r="B23" i="44" s="1"/>
  <c r="W6" i="49"/>
  <c r="I18" i="44" s="1"/>
  <c r="O22" i="47"/>
  <c r="C22" i="48" s="1"/>
  <c r="M79" i="47"/>
  <c r="L91" i="47"/>
  <c r="A91" i="48" s="1"/>
  <c r="P87" i="47"/>
  <c r="D87" i="48" s="1"/>
  <c r="R5" i="49"/>
  <c r="D17" i="44" s="1"/>
  <c r="P84" i="47"/>
  <c r="D84" i="48" s="1"/>
  <c r="P13" i="47"/>
  <c r="D13" i="48" s="1"/>
  <c r="P98" i="47"/>
  <c r="D98" i="48" s="1"/>
  <c r="T18" i="49"/>
  <c r="F30" i="44" s="1"/>
  <c r="O93" i="47"/>
  <c r="C93" i="48" s="1"/>
  <c r="N5" i="47"/>
  <c r="B5" i="48" s="1"/>
  <c r="N51" i="47"/>
  <c r="B51" i="48" s="1"/>
  <c r="L109" i="47"/>
  <c r="A109" i="48" s="1"/>
  <c r="N81" i="47"/>
  <c r="B81" i="48" s="1"/>
  <c r="P53" i="47"/>
  <c r="D53" i="48" s="1"/>
  <c r="V5" i="49"/>
  <c r="H17" i="44" s="1"/>
  <c r="L38" i="47"/>
  <c r="A38" i="48" s="1"/>
  <c r="Q12" i="49"/>
  <c r="C24" i="44" s="1"/>
  <c r="P31" i="47"/>
  <c r="D31" i="48" s="1"/>
  <c r="O90" i="47"/>
  <c r="C90" i="48" s="1"/>
  <c r="O27" i="47"/>
  <c r="C27" i="48" s="1"/>
  <c r="P110" i="47"/>
  <c r="D110" i="48" s="1"/>
  <c r="X25" i="49"/>
  <c r="J37" i="44" s="1"/>
  <c r="M53" i="47"/>
  <c r="Y11" i="49"/>
  <c r="K23" i="44" s="1"/>
  <c r="N30" i="47"/>
  <c r="B30" i="48" s="1"/>
  <c r="L76" i="47"/>
  <c r="A76" i="48" s="1"/>
  <c r="O34" i="47"/>
  <c r="C34" i="48" s="1"/>
  <c r="L52" i="47"/>
  <c r="A52" i="48" s="1"/>
  <c r="N24" i="47"/>
  <c r="B24" i="48" s="1"/>
  <c r="L78" i="47"/>
  <c r="A78" i="48" s="1"/>
  <c r="L58" i="47"/>
  <c r="A58" i="48" s="1"/>
  <c r="U22" i="49"/>
  <c r="G34" i="44" s="1"/>
  <c r="O7" i="49"/>
  <c r="A19" i="44" s="1"/>
  <c r="P4" i="49"/>
  <c r="B16" i="44" s="1"/>
  <c r="P72" i="47"/>
  <c r="D72" i="48" s="1"/>
  <c r="M105" i="47"/>
  <c r="N72" i="47"/>
  <c r="B72" i="48" s="1"/>
  <c r="O20" i="47"/>
  <c r="C20" i="48" s="1"/>
  <c r="Y21" i="49"/>
  <c r="K33" i="44" s="1"/>
  <c r="M62" i="47"/>
  <c r="Y9" i="49"/>
  <c r="K21" i="44" s="1"/>
  <c r="W23" i="49"/>
  <c r="I35" i="44" s="1"/>
  <c r="P19" i="47"/>
  <c r="D19" i="48" s="1"/>
  <c r="P32" i="47"/>
  <c r="D32" i="48" s="1"/>
  <c r="L106" i="47"/>
  <c r="A106" i="48" s="1"/>
  <c r="P10" i="47"/>
  <c r="D10" i="48" s="1"/>
  <c r="N70" i="47"/>
  <c r="B70" i="48" s="1"/>
  <c r="P10" i="49"/>
  <c r="B22" i="44" s="1"/>
  <c r="M25" i="47"/>
  <c r="M65" i="47"/>
  <c r="P100" i="47"/>
  <c r="D100" i="48" s="1"/>
  <c r="W15" i="49"/>
  <c r="I27" i="44" s="1"/>
  <c r="P25" i="49"/>
  <c r="B37" i="44" s="1"/>
  <c r="O96" i="47"/>
  <c r="C96" i="48" s="1"/>
  <c r="R21" i="49"/>
  <c r="D33" i="44" s="1"/>
  <c r="N64" i="47"/>
  <c r="B64" i="48" s="1"/>
  <c r="N59" i="47"/>
  <c r="B59" i="48" s="1"/>
  <c r="P37" i="47"/>
  <c r="D37" i="48" s="1"/>
  <c r="O13" i="49"/>
  <c r="A25" i="44" s="1"/>
  <c r="V24" i="49"/>
  <c r="H36" i="44" s="1"/>
  <c r="V19" i="49"/>
  <c r="H31" i="44" s="1"/>
  <c r="P40" i="47"/>
  <c r="D40" i="48" s="1"/>
  <c r="X13" i="49"/>
  <c r="J25" i="44" s="1"/>
  <c r="P27" i="47"/>
  <c r="D27" i="48" s="1"/>
  <c r="N12" i="47"/>
  <c r="B12" i="48" s="1"/>
  <c r="X10" i="49"/>
  <c r="J22" i="44" s="1"/>
  <c r="X6" i="49"/>
  <c r="J18" i="44" s="1"/>
  <c r="N109" i="47"/>
  <c r="B109" i="48" s="1"/>
  <c r="M71" i="47"/>
  <c r="T12" i="49"/>
  <c r="F24" i="44" s="1"/>
  <c r="U9" i="49"/>
  <c r="G21" i="44" s="1"/>
  <c r="R12" i="49"/>
  <c r="D24" i="44" s="1"/>
  <c r="T2" i="49"/>
  <c r="F14" i="44" s="1"/>
  <c r="M44" i="47"/>
  <c r="N26" i="47"/>
  <c r="B26" i="48" s="1"/>
  <c r="P3" i="47"/>
  <c r="D3" i="48" s="1"/>
  <c r="N82" i="47"/>
  <c r="B82" i="48" s="1"/>
  <c r="M43" i="47"/>
  <c r="N22" i="47"/>
  <c r="B22" i="48" s="1"/>
  <c r="O76" i="47"/>
  <c r="C76" i="48" s="1"/>
  <c r="V20" i="49"/>
  <c r="H32" i="44" s="1"/>
  <c r="O21" i="49"/>
  <c r="A33" i="44" s="1"/>
  <c r="M97" i="47"/>
  <c r="P61" i="47"/>
  <c r="D61" i="48" s="1"/>
  <c r="P96" i="47"/>
  <c r="D96" i="48" s="1"/>
  <c r="P42" i="47"/>
  <c r="D42" i="48" s="1"/>
  <c r="M18" i="47"/>
  <c r="X23" i="49"/>
  <c r="J35" i="44" s="1"/>
  <c r="M45" i="47"/>
  <c r="L41" i="47"/>
  <c r="A41" i="48" s="1"/>
  <c r="M73" i="47"/>
  <c r="Y25" i="49"/>
  <c r="K37" i="44" s="1"/>
  <c r="X17" i="49"/>
  <c r="J29" i="44" s="1"/>
  <c r="O94" i="47"/>
  <c r="C94" i="48" s="1"/>
  <c r="P23" i="47"/>
  <c r="D23" i="48" s="1"/>
  <c r="S14" i="49"/>
  <c r="E26" i="44" s="1"/>
  <c r="L89" i="47"/>
  <c r="A89" i="48" s="1"/>
  <c r="P63" i="47"/>
  <c r="D63" i="48" s="1"/>
  <c r="L75" i="47"/>
  <c r="A75" i="48" s="1"/>
  <c r="P22" i="49"/>
  <c r="B34" i="44" s="1"/>
  <c r="N111" i="47"/>
  <c r="B111" i="48" s="1"/>
  <c r="P92" i="47"/>
  <c r="D92" i="48" s="1"/>
  <c r="W22" i="49"/>
  <c r="I34" i="44" s="1"/>
  <c r="T17" i="49"/>
  <c r="F29" i="44" s="1"/>
  <c r="X3" i="49"/>
  <c r="J15" i="44" s="1"/>
  <c r="P46" i="47"/>
  <c r="D46" i="48" s="1"/>
  <c r="P22" i="47"/>
  <c r="D22" i="48" s="1"/>
  <c r="M9" i="47"/>
  <c r="O63" i="47"/>
  <c r="C63" i="48" s="1"/>
  <c r="M2" i="47"/>
  <c r="M6" i="47"/>
  <c r="O20" i="49"/>
  <c r="A32" i="44" s="1"/>
  <c r="N52" i="47"/>
  <c r="B52" i="48" s="1"/>
  <c r="O91" i="47"/>
  <c r="C91" i="48" s="1"/>
  <c r="P7" i="47"/>
  <c r="D7" i="48" s="1"/>
  <c r="M109" i="47"/>
  <c r="T14" i="49"/>
  <c r="F26" i="44" s="1"/>
  <c r="L16" i="47"/>
  <c r="A16" i="48" s="1"/>
  <c r="M86" i="47"/>
  <c r="L27" i="47"/>
  <c r="A27" i="48" s="1"/>
  <c r="L37" i="47"/>
  <c r="A37" i="48" s="1"/>
  <c r="U3" i="49"/>
  <c r="G15" i="44" s="1"/>
  <c r="U8" i="49"/>
  <c r="G20" i="44" s="1"/>
  <c r="X14" i="49"/>
  <c r="J26" i="44" s="1"/>
  <c r="N85" i="47"/>
  <c r="B85" i="48" s="1"/>
  <c r="M96" i="47"/>
  <c r="R22" i="49"/>
  <c r="D34" i="44" s="1"/>
  <c r="M36" i="47"/>
  <c r="N56" i="47"/>
  <c r="B56" i="48" s="1"/>
  <c r="O62" i="47"/>
  <c r="C62" i="48" s="1"/>
  <c r="O85" i="47"/>
  <c r="C85" i="48" s="1"/>
  <c r="O52" i="47"/>
  <c r="C52" i="48" s="1"/>
  <c r="Q19" i="49"/>
  <c r="C31" i="44" s="1"/>
  <c r="X26" i="49"/>
  <c r="J38" i="44" s="1"/>
  <c r="N44" i="47"/>
  <c r="B44" i="48" s="1"/>
  <c r="S23" i="49"/>
  <c r="E35" i="44" s="1"/>
  <c r="O16" i="49"/>
  <c r="A28" i="44" s="1"/>
  <c r="N20" i="47"/>
  <c r="B20" i="48" s="1"/>
  <c r="M51" i="47"/>
  <c r="O97" i="47"/>
  <c r="C97" i="48" s="1"/>
  <c r="R19" i="49"/>
  <c r="D31" i="44" s="1"/>
  <c r="L108" i="47"/>
  <c r="A108" i="48" s="1"/>
  <c r="S15" i="49"/>
  <c r="E27" i="44" s="1"/>
  <c r="M38" i="47"/>
  <c r="O49" i="47"/>
  <c r="C49" i="48" s="1"/>
  <c r="O16" i="47"/>
  <c r="C16" i="48" s="1"/>
  <c r="N99" i="47"/>
  <c r="B99" i="48" s="1"/>
  <c r="P35" i="47"/>
  <c r="D35" i="48" s="1"/>
  <c r="N75" i="47"/>
  <c r="B75" i="48" s="1"/>
  <c r="L17" i="47"/>
  <c r="A17" i="48" s="1"/>
  <c r="V2" i="49"/>
  <c r="H14" i="44" s="1"/>
  <c r="O53" i="47"/>
  <c r="C53" i="48" s="1"/>
  <c r="M81" i="47"/>
  <c r="T4" i="49"/>
  <c r="F16" i="44" s="1"/>
  <c r="O67" i="47"/>
  <c r="C67" i="48" s="1"/>
  <c r="P54" i="47"/>
  <c r="D54" i="48" s="1"/>
  <c r="P83" i="47"/>
  <c r="D83" i="48" s="1"/>
  <c r="Q23" i="49"/>
  <c r="C35" i="44" s="1"/>
  <c r="O84" i="47"/>
  <c r="C84" i="48" s="1"/>
  <c r="P18" i="49"/>
  <c r="B30" i="44" s="1"/>
  <c r="L10" i="47"/>
  <c r="A10" i="48" s="1"/>
  <c r="P104" i="47"/>
  <c r="D104" i="48" s="1"/>
  <c r="N14" i="47"/>
  <c r="B14" i="48" s="1"/>
  <c r="N25" i="47"/>
  <c r="B25" i="48" s="1"/>
  <c r="Y26" i="49"/>
  <c r="K38" i="44" s="1"/>
  <c r="P8" i="49"/>
  <c r="B20" i="44" s="1"/>
  <c r="M40" i="47"/>
  <c r="M111" i="47"/>
  <c r="L107" i="47"/>
  <c r="A107" i="48" s="1"/>
  <c r="N104" i="47"/>
  <c r="B104" i="48" s="1"/>
  <c r="P36" i="47"/>
  <c r="D36" i="48" s="1"/>
  <c r="M84" i="47"/>
  <c r="N90" i="47"/>
  <c r="B90" i="48" s="1"/>
  <c r="N76" i="47"/>
  <c r="B76" i="48" s="1"/>
  <c r="L87" i="47"/>
  <c r="A87" i="48" s="1"/>
  <c r="N15" i="47"/>
  <c r="B15" i="48" s="1"/>
  <c r="P101" i="47"/>
  <c r="D101" i="48" s="1"/>
  <c r="O46" i="47"/>
  <c r="C46" i="48" s="1"/>
  <c r="O28" i="47"/>
  <c r="C28" i="48" s="1"/>
  <c r="L51" i="47"/>
  <c r="A51" i="48" s="1"/>
  <c r="P56" i="47"/>
  <c r="D56" i="48" s="1"/>
  <c r="N39" i="47"/>
  <c r="B39" i="48" s="1"/>
  <c r="L103" i="47"/>
  <c r="A103" i="48" s="1"/>
  <c r="M16" i="47"/>
  <c r="X18" i="49"/>
  <c r="J30" i="44" s="1"/>
  <c r="M58" i="47"/>
  <c r="M17" i="47"/>
  <c r="P103" i="47"/>
  <c r="D103" i="48" s="1"/>
  <c r="U16" i="49"/>
  <c r="G28" i="44" s="1"/>
  <c r="S26" i="49"/>
  <c r="E38" i="44" s="1"/>
  <c r="P52" i="47"/>
  <c r="D52" i="48" s="1"/>
  <c r="V18" i="49"/>
  <c r="H30" i="44" s="1"/>
  <c r="L29" i="47"/>
  <c r="A29" i="48" s="1"/>
  <c r="P73" i="47"/>
  <c r="D73" i="48" s="1"/>
  <c r="L95" i="47"/>
  <c r="A95" i="48" s="1"/>
  <c r="P7" i="49"/>
  <c r="B19" i="44" s="1"/>
  <c r="U7" i="49"/>
  <c r="G19" i="44" s="1"/>
  <c r="N55" i="47"/>
  <c r="B55" i="48" s="1"/>
  <c r="O40" i="47"/>
  <c r="C40" i="48" s="1"/>
  <c r="P23" i="49"/>
  <c r="B35" i="44" s="1"/>
  <c r="T19" i="49"/>
  <c r="F31" i="44" s="1"/>
  <c r="O22" i="49"/>
  <c r="A34" i="44" s="1"/>
  <c r="V17" i="49"/>
  <c r="H29" i="44" s="1"/>
  <c r="R16" i="49"/>
  <c r="D28" i="44" s="1"/>
  <c r="O4" i="49"/>
  <c r="A16" i="44" s="1"/>
  <c r="R13" i="49"/>
  <c r="D25" i="44" s="1"/>
  <c r="M23" i="47"/>
  <c r="U5" i="49"/>
  <c r="G17" i="44" s="1"/>
  <c r="Q25" i="49"/>
  <c r="C37" i="44" s="1"/>
  <c r="P18" i="47"/>
  <c r="D18" i="48" s="1"/>
  <c r="T24" i="49"/>
  <c r="F36" i="44" s="1"/>
  <c r="O95" i="47"/>
  <c r="C95" i="48" s="1"/>
  <c r="P17" i="49"/>
  <c r="B29" i="44" s="1"/>
  <c r="M13" i="47"/>
  <c r="P13" i="49"/>
  <c r="B25" i="44" s="1"/>
  <c r="Y19" i="49"/>
  <c r="K31" i="44" s="1"/>
  <c r="P62" i="47"/>
  <c r="D62" i="48" s="1"/>
  <c r="M88" i="47"/>
  <c r="M90" i="47"/>
  <c r="L39" i="47"/>
  <c r="A39" i="48" s="1"/>
  <c r="Y14" i="49"/>
  <c r="K26" i="44" s="1"/>
  <c r="R26" i="49"/>
  <c r="D38" i="44" s="1"/>
  <c r="P12" i="49"/>
  <c r="B24" i="44" s="1"/>
  <c r="V26" i="49"/>
  <c r="H38" i="44" s="1"/>
  <c r="L62" i="47"/>
  <c r="A62" i="48" s="1"/>
  <c r="P12" i="47"/>
  <c r="D12" i="48" s="1"/>
  <c r="X22" i="49"/>
  <c r="J34" i="44" s="1"/>
  <c r="O35" i="47"/>
  <c r="C35" i="48" s="1"/>
  <c r="O51" i="47"/>
  <c r="C51" i="48" s="1"/>
  <c r="P85" i="47"/>
  <c r="D85" i="48" s="1"/>
  <c r="N63" i="47"/>
  <c r="B63" i="48" s="1"/>
  <c r="S20" i="49"/>
  <c r="E32" i="44" s="1"/>
  <c r="L11" i="47"/>
  <c r="A11" i="48" s="1"/>
  <c r="P4" i="47"/>
  <c r="D4" i="48" s="1"/>
  <c r="W18" i="49"/>
  <c r="I30" i="44" s="1"/>
  <c r="P47" i="47"/>
  <c r="D47" i="48" s="1"/>
  <c r="N21" i="47"/>
  <c r="B21" i="48" s="1"/>
  <c r="O38" i="47"/>
  <c r="C38" i="48" s="1"/>
  <c r="P33" i="47"/>
  <c r="D33" i="48" s="1"/>
  <c r="P15" i="49"/>
  <c r="B27" i="44" s="1"/>
  <c r="M31" i="47"/>
  <c r="Y3" i="49"/>
  <c r="K15" i="44" s="1"/>
  <c r="V3" i="49"/>
  <c r="H15" i="44" s="1"/>
  <c r="P59" i="47"/>
  <c r="D59" i="48" s="1"/>
  <c r="O83" i="47"/>
  <c r="C83" i="48" s="1"/>
  <c r="S24" i="49"/>
  <c r="E36" i="44" s="1"/>
  <c r="P66" i="47"/>
  <c r="D66" i="48" s="1"/>
  <c r="N106" i="47"/>
  <c r="B106" i="48" s="1"/>
  <c r="P29" i="47"/>
  <c r="D29" i="48" s="1"/>
  <c r="M108" i="47"/>
  <c r="L68" i="47"/>
  <c r="A68" i="48" s="1"/>
  <c r="N35" i="47"/>
  <c r="B35" i="48" s="1"/>
  <c r="T26" i="49"/>
  <c r="F38" i="44" s="1"/>
  <c r="L24" i="47"/>
  <c r="A24" i="48" s="1"/>
  <c r="U4" i="49"/>
  <c r="G16" i="44" s="1"/>
  <c r="N86" i="47"/>
  <c r="B86" i="48" s="1"/>
  <c r="N67" i="47"/>
  <c r="B67" i="48" s="1"/>
  <c r="S3" i="49"/>
  <c r="E15" i="44" s="1"/>
  <c r="P39" i="47"/>
  <c r="D39" i="48" s="1"/>
  <c r="X15" i="49"/>
  <c r="J27" i="44" s="1"/>
  <c r="U18" i="49"/>
  <c r="G30" i="44" s="1"/>
  <c r="Q6" i="49"/>
  <c r="C18" i="44" s="1"/>
  <c r="N10" i="47"/>
  <c r="B10" i="48" s="1"/>
  <c r="N71" i="47"/>
  <c r="B71" i="48" s="1"/>
  <c r="N69" i="47"/>
  <c r="B69" i="48" s="1"/>
  <c r="Q20" i="49"/>
  <c r="C32" i="44" s="1"/>
  <c r="L111" i="47"/>
  <c r="A111" i="48" s="1"/>
  <c r="W24" i="49"/>
  <c r="I36" i="44" s="1"/>
  <c r="Q8" i="49"/>
  <c r="C20" i="44" s="1"/>
  <c r="Q9" i="49"/>
  <c r="C21" i="44" s="1"/>
  <c r="L72" i="47"/>
  <c r="A72" i="48" s="1"/>
  <c r="N101" i="47"/>
  <c r="B101" i="48" s="1"/>
  <c r="W21" i="49"/>
  <c r="I33" i="44" s="1"/>
  <c r="M55" i="47"/>
  <c r="W13" i="49"/>
  <c r="I25" i="44" s="1"/>
  <c r="P30" i="47"/>
  <c r="D30" i="48" s="1"/>
  <c r="L8" i="47"/>
  <c r="A8" i="48" s="1"/>
  <c r="U15" i="49"/>
  <c r="G27" i="44" s="1"/>
  <c r="Q14" i="49"/>
  <c r="C26" i="44" s="1"/>
  <c r="M80" i="47"/>
  <c r="P111" i="47"/>
  <c r="D111" i="48" s="1"/>
  <c r="P6" i="49"/>
  <c r="B18" i="44" s="1"/>
  <c r="O48" i="47"/>
  <c r="C48" i="48" s="1"/>
  <c r="L82" i="47"/>
  <c r="A82" i="48" s="1"/>
  <c r="U17" i="49"/>
  <c r="G29" i="44" s="1"/>
  <c r="X21" i="49"/>
  <c r="J33" i="44" s="1"/>
  <c r="M110" i="47"/>
  <c r="N88" i="47"/>
  <c r="B88" i="48" s="1"/>
  <c r="O59" i="47"/>
  <c r="C59" i="48" s="1"/>
  <c r="U13" i="49"/>
  <c r="G25" i="44" s="1"/>
  <c r="R25" i="49"/>
  <c r="D37" i="44" s="1"/>
  <c r="P55" i="47"/>
  <c r="D55" i="48" s="1"/>
  <c r="O21" i="47"/>
  <c r="C21" i="48" s="1"/>
  <c r="L85" i="47"/>
  <c r="A85" i="48" s="1"/>
  <c r="N4" i="47"/>
  <c r="B4" i="48" s="1"/>
  <c r="Y6" i="49"/>
  <c r="K18" i="44" s="1"/>
  <c r="Y23" i="49"/>
  <c r="K35" i="44" s="1"/>
  <c r="T3" i="49"/>
  <c r="F15" i="44" s="1"/>
  <c r="N31" i="47"/>
  <c r="B31" i="48" s="1"/>
  <c r="L79" i="47"/>
  <c r="A79" i="48" s="1"/>
  <c r="O8" i="47"/>
  <c r="C8" i="48" s="1"/>
  <c r="W11" i="49"/>
  <c r="I23" i="44" s="1"/>
  <c r="M19" i="47"/>
  <c r="M63" i="47"/>
  <c r="Y22" i="49"/>
  <c r="K34" i="44" s="1"/>
  <c r="M91" i="47"/>
  <c r="M61" i="47"/>
  <c r="O68" i="47"/>
  <c r="C68" i="48" s="1"/>
  <c r="T25" i="49"/>
  <c r="F37" i="44" s="1"/>
  <c r="M10" i="47"/>
  <c r="P88" i="47"/>
  <c r="D88" i="48" s="1"/>
  <c r="P77" i="47"/>
  <c r="D77" i="48" s="1"/>
  <c r="L42" i="47"/>
  <c r="A42" i="48" s="1"/>
  <c r="N27" i="47"/>
  <c r="B27" i="48" s="1"/>
  <c r="X11" i="49"/>
  <c r="J23" i="44" s="1"/>
  <c r="P67" i="47"/>
  <c r="D67" i="48" s="1"/>
  <c r="L4" i="47"/>
  <c r="A4" i="48" s="1"/>
  <c r="M50" i="47"/>
  <c r="P102" i="47"/>
  <c r="D102" i="48" s="1"/>
  <c r="M103" i="47"/>
  <c r="L69" i="47"/>
  <c r="A69" i="48" s="1"/>
  <c r="N91" i="47"/>
  <c r="B91" i="48" s="1"/>
  <c r="W10" i="49"/>
  <c r="I22" i="44" s="1"/>
  <c r="S22" i="49"/>
  <c r="E34" i="44" s="1"/>
  <c r="P19" i="49"/>
  <c r="B31" i="44" s="1"/>
  <c r="N57" i="47"/>
  <c r="B57" i="48" s="1"/>
  <c r="O26" i="47"/>
  <c r="C26" i="48" s="1"/>
  <c r="L35" i="47"/>
  <c r="A35" i="48" s="1"/>
  <c r="P34" i="47"/>
  <c r="D34" i="48" s="1"/>
  <c r="P21" i="49"/>
  <c r="B33" i="44" s="1"/>
  <c r="M66" i="47"/>
  <c r="S8" i="49"/>
  <c r="E20" i="44" s="1"/>
  <c r="N38" i="47"/>
  <c r="B38" i="48" s="1"/>
  <c r="O37" i="47"/>
  <c r="C37" i="48" s="1"/>
  <c r="M27" i="47"/>
  <c r="W20" i="49"/>
  <c r="I32" i="44" s="1"/>
  <c r="O15" i="49"/>
  <c r="A27" i="44" s="1"/>
  <c r="O77" i="47"/>
  <c r="C77" i="48" s="1"/>
  <c r="N16" i="47"/>
  <c r="B16" i="48" s="1"/>
  <c r="O10" i="47"/>
  <c r="C10" i="48" s="1"/>
  <c r="X24" i="49"/>
  <c r="J36" i="44" s="1"/>
  <c r="M70" i="47"/>
  <c r="V23" i="49"/>
  <c r="H35" i="44" s="1"/>
  <c r="L93" i="47"/>
  <c r="A93" i="48" s="1"/>
  <c r="M42" i="47"/>
  <c r="Y16" i="49"/>
  <c r="K28" i="44" s="1"/>
  <c r="M67" i="47"/>
  <c r="L77" i="47"/>
  <c r="A77" i="48" s="1"/>
  <c r="M32" i="47"/>
  <c r="X4" i="49"/>
  <c r="J16" i="44" s="1"/>
  <c r="O5" i="49"/>
  <c r="A17" i="44" s="1"/>
  <c r="P107" i="47"/>
  <c r="D107" i="48" s="1"/>
  <c r="L73" i="47"/>
  <c r="A73" i="48" s="1"/>
  <c r="V21" i="49"/>
  <c r="H33" i="44" s="1"/>
  <c r="V25" i="49"/>
  <c r="H37" i="44" s="1"/>
  <c r="N41" i="47"/>
  <c r="B41" i="48" s="1"/>
  <c r="N36" i="47"/>
  <c r="B36" i="48" s="1"/>
  <c r="O88" i="47"/>
  <c r="C88" i="48" s="1"/>
  <c r="Y2" i="49"/>
  <c r="K14" i="44" s="1"/>
  <c r="P50" i="47"/>
  <c r="D50" i="48" s="1"/>
  <c r="Q15" i="49"/>
  <c r="C27" i="44" s="1"/>
  <c r="P20" i="47"/>
  <c r="D20" i="48" s="1"/>
  <c r="P76" i="47"/>
  <c r="D76" i="48" s="1"/>
  <c r="N79" i="47"/>
  <c r="B79" i="48" s="1"/>
  <c r="M33" i="47"/>
  <c r="O3" i="49"/>
  <c r="A15" i="44" s="1"/>
  <c r="M12" i="47"/>
  <c r="L20" i="47"/>
  <c r="A20" i="48" s="1"/>
  <c r="L9" i="47"/>
  <c r="A9" i="48" s="1"/>
  <c r="L63" i="47"/>
  <c r="A63" i="48" s="1"/>
  <c r="O23" i="49"/>
  <c r="A35" i="44" s="1"/>
  <c r="N17" i="47"/>
  <c r="B17" i="48" s="1"/>
  <c r="P48" i="47"/>
  <c r="D48" i="48" s="1"/>
  <c r="N13" i="47"/>
  <c r="B13" i="48" s="1"/>
  <c r="Q22" i="49"/>
  <c r="C34" i="44" s="1"/>
  <c r="V6" i="49"/>
  <c r="H18" i="44" s="1"/>
  <c r="M85" i="47"/>
  <c r="U19" i="49"/>
  <c r="G31" i="44" s="1"/>
  <c r="S18" i="49"/>
  <c r="E30" i="44" s="1"/>
  <c r="L81" i="47"/>
  <c r="A81" i="48" s="1"/>
  <c r="U21" i="49"/>
  <c r="G33" i="44" s="1"/>
  <c r="O17" i="47"/>
  <c r="C17" i="48" s="1"/>
  <c r="O45" i="47"/>
  <c r="C45" i="48" s="1"/>
  <c r="L30" i="47"/>
  <c r="A30" i="48" s="1"/>
  <c r="N60" i="47"/>
  <c r="B60" i="48" s="1"/>
  <c r="N40" i="47"/>
  <c r="B40" i="48" s="1"/>
  <c r="W9" i="49"/>
  <c r="I21" i="44" s="1"/>
  <c r="Y13" i="49"/>
  <c r="K25" i="44" s="1"/>
  <c r="X12" i="49"/>
  <c r="J24" i="44" s="1"/>
  <c r="L84" i="47"/>
  <c r="A84" i="48" s="1"/>
  <c r="P9" i="47"/>
  <c r="D9" i="48" s="1"/>
  <c r="M64" i="47"/>
  <c r="L88" i="47"/>
  <c r="A88" i="48" s="1"/>
  <c r="N42" i="47"/>
  <c r="B42" i="48" s="1"/>
  <c r="N33" i="47"/>
  <c r="B33" i="48" s="1"/>
  <c r="O74" i="47"/>
  <c r="C74" i="48" s="1"/>
  <c r="P15" i="47"/>
  <c r="D15" i="48" s="1"/>
  <c r="Y15" i="49"/>
  <c r="K27" i="44" s="1"/>
  <c r="N95" i="47"/>
  <c r="B95" i="48" s="1"/>
  <c r="X9" i="49"/>
  <c r="J21" i="44" s="1"/>
  <c r="P89" i="47"/>
  <c r="D89" i="48" s="1"/>
  <c r="S11" i="49"/>
  <c r="E23" i="44" s="1"/>
  <c r="R11" i="49"/>
  <c r="D23" i="44" s="1"/>
  <c r="N62" i="47"/>
  <c r="B62" i="48" s="1"/>
  <c r="S6" i="49"/>
  <c r="E18" i="44" s="1"/>
  <c r="P26" i="47"/>
  <c r="D26" i="48" s="1"/>
  <c r="W3" i="49"/>
  <c r="I15" i="44" s="1"/>
  <c r="N43" i="47"/>
  <c r="B43" i="48" s="1"/>
  <c r="U20" i="49"/>
  <c r="G32" i="44" s="1"/>
  <c r="N94" i="47"/>
  <c r="B94" i="48" s="1"/>
  <c r="Y20" i="49"/>
  <c r="K32" i="44" s="1"/>
  <c r="O8" i="49"/>
  <c r="A20" i="44" s="1"/>
  <c r="N98" i="47"/>
  <c r="B98" i="48" s="1"/>
  <c r="R3" i="49"/>
  <c r="D15" i="44" s="1"/>
  <c r="O9" i="47"/>
  <c r="C9" i="48" s="1"/>
  <c r="O25" i="49"/>
  <c r="A37" i="44" s="1"/>
  <c r="V12" i="49"/>
  <c r="H24" i="44" s="1"/>
  <c r="L60" i="47"/>
  <c r="A60" i="48" s="1"/>
  <c r="O72" i="47"/>
  <c r="C72" i="48" s="1"/>
  <c r="M49" i="47"/>
  <c r="W25" i="49"/>
  <c r="I37" i="44" s="1"/>
  <c r="O71" i="47"/>
  <c r="C71" i="48" s="1"/>
  <c r="T8" i="49"/>
  <c r="F20" i="44" s="1"/>
  <c r="R7" i="49"/>
  <c r="D19" i="44" s="1"/>
  <c r="L74" i="47"/>
  <c r="A74" i="48" s="1"/>
  <c r="N29" i="47"/>
  <c r="B29" i="48" s="1"/>
  <c r="W17" i="49"/>
  <c r="I29" i="44" s="1"/>
  <c r="L18" i="47"/>
  <c r="A18" i="48" s="1"/>
  <c r="Y8" i="49"/>
  <c r="K20" i="44" s="1"/>
  <c r="M22" i="47"/>
  <c r="P108" i="47"/>
  <c r="D108" i="48" s="1"/>
  <c r="R9" i="49"/>
  <c r="D21" i="44" s="1"/>
  <c r="M26" i="47"/>
  <c r="L15" i="47"/>
  <c r="A15" i="48" s="1"/>
  <c r="M82" i="47"/>
  <c r="W7" i="49"/>
  <c r="I19" i="44" s="1"/>
  <c r="B11" i="44" l="1"/>
  <c r="K13" i="44"/>
  <c r="F13" i="44"/>
  <c r="A12" i="44"/>
  <c r="B1" i="44" s="1"/>
  <c r="I12" i="44"/>
  <c r="D13" i="44"/>
  <c r="H13" i="44"/>
  <c r="C13" i="44"/>
  <c r="G13" i="44"/>
  <c r="J12" i="44"/>
  <c r="B12" i="44"/>
  <c r="J13" i="44"/>
  <c r="F12" i="44"/>
  <c r="C12" i="44"/>
  <c r="B10" i="44"/>
  <c r="E13" i="44"/>
</calcChain>
</file>

<file path=xl/comments1.xml><?xml version="1.0" encoding="utf-8"?>
<comments xmlns="http://schemas.openxmlformats.org/spreadsheetml/2006/main">
  <authors>
    <author>OnkoZert</author>
    <author>Flo</author>
    <author>OnkoZert - Florina Dudu</author>
  </authors>
  <commentList>
    <comment ref="C6" authorId="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K12" authorId="0">
      <text>
        <r>
          <rPr>
            <sz val="9"/>
            <color indexed="81"/>
            <rFont val="Arial"/>
            <family val="2"/>
          </rPr>
          <t>tt.mm.jjjj
Übertrag in weitere Tabellenblätter erfolgt automatisch.</t>
        </r>
      </text>
    </comment>
    <comment ref="C14" authorId="2">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K14" authorId="0">
      <text>
        <r>
          <rPr>
            <sz val="9"/>
            <color indexed="81"/>
            <rFont val="Arial"/>
            <family val="2"/>
          </rPr>
          <t>Auswahl erfolgt über Reg.-Nr.</t>
        </r>
      </text>
    </comment>
    <comment ref="C16" authorId="0">
      <text>
        <r>
          <rPr>
            <sz val="9"/>
            <color indexed="81"/>
            <rFont val="Arial"/>
            <family val="2"/>
          </rPr>
          <t>Name, Vorname</t>
        </r>
      </text>
    </comment>
    <comment ref="A24" authorId="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27" authorId="0">
      <text>
        <r>
          <rPr>
            <sz val="9"/>
            <color indexed="81"/>
            <rFont val="Arial"/>
            <family val="2"/>
          </rPr>
          <t>KB = Kennzahlenbogen
KN = Kennzahlen</t>
        </r>
      </text>
    </comment>
    <comment ref="L30" authorId="0">
      <text>
        <r>
          <rPr>
            <sz val="9"/>
            <color indexed="81"/>
            <rFont val="Arial"/>
            <family val="2"/>
          </rPr>
          <t>Anzahl KN: 14a
Nenner KN: 2, 12
Teil von Nenner: 10, 11
Siehe auch Bearbeitungshinweis 7</t>
        </r>
      </text>
    </comment>
    <comment ref="A31" authorId="2">
      <text>
        <r>
          <rPr>
            <sz val="9"/>
            <color indexed="81"/>
            <rFont val="Arial"/>
            <family val="2"/>
          </rPr>
          <t>Teilmenge von Primärfälle Gesamt
Zeile 31 + 33 ≠ 30 weil in 30 zusätzlich nicht operierte PF enthalten sind</t>
        </r>
      </text>
    </comment>
    <comment ref="L33" authorId="0">
      <text>
        <r>
          <rPr>
            <sz val="9"/>
            <color indexed="81"/>
            <rFont val="Arial"/>
            <family val="2"/>
          </rPr>
          <t>Nenner 
KN: 1, 13, 17, 22</t>
        </r>
      </text>
    </comment>
    <comment ref="E34" authorId="0">
      <text>
        <r>
          <rPr>
            <sz val="9"/>
            <color indexed="81"/>
            <rFont val="Arial"/>
            <family val="2"/>
          </rPr>
          <t>Teil von Nenner KN: 4</t>
        </r>
      </text>
    </comment>
    <comment ref="F34" authorId="0">
      <text>
        <r>
          <rPr>
            <sz val="9"/>
            <color indexed="81"/>
            <rFont val="Arial"/>
            <family val="2"/>
          </rPr>
          <t>Teil von Nenner KN: 4</t>
        </r>
      </text>
    </comment>
    <comment ref="G34" authorId="0">
      <text>
        <r>
          <rPr>
            <sz val="9"/>
            <color indexed="81"/>
            <rFont val="Arial"/>
            <family val="2"/>
          </rPr>
          <t>Teil von Nenner KN: 4</t>
        </r>
      </text>
    </comment>
    <comment ref="H34" authorId="0">
      <text>
        <r>
          <rPr>
            <sz val="9"/>
            <color indexed="81"/>
            <rFont val="Arial"/>
            <family val="2"/>
          </rPr>
          <t>Teil von Nenner KN: 4</t>
        </r>
      </text>
    </comment>
    <comment ref="I34" authorId="0">
      <text>
        <r>
          <rPr>
            <sz val="9"/>
            <color indexed="81"/>
            <rFont val="Arial"/>
            <family val="2"/>
          </rPr>
          <t>Teil von Nenner KN: 4</t>
        </r>
      </text>
    </comment>
    <comment ref="L35" authorId="0">
      <text>
        <r>
          <rPr>
            <sz val="9"/>
            <color indexed="81"/>
            <rFont val="Arial"/>
            <family val="2"/>
          </rPr>
          <t>Zähler KN: 17</t>
        </r>
      </text>
    </comment>
    <comment ref="L41" authorId="0">
      <text>
        <r>
          <rPr>
            <sz val="9"/>
            <color indexed="8"/>
            <rFont val="Arial"/>
            <family val="2"/>
          </rPr>
          <t>Siehe Bearbeitungshinweis 7</t>
        </r>
      </text>
    </comment>
  </commentList>
</comments>
</file>

<file path=xl/comments2.xml><?xml version="1.0" encoding="utf-8"?>
<comments xmlns="http://schemas.openxmlformats.org/spreadsheetml/2006/main">
  <authors>
    <author>OnkoZert - Florina Dudu</author>
  </authors>
  <commentList>
    <comment ref="C5" authorId="0">
      <text>
        <r>
          <rPr>
            <sz val="9"/>
            <color indexed="81"/>
            <rFont val="Arial"/>
            <family val="2"/>
          </rPr>
          <t>Zähler KN 12</t>
        </r>
      </text>
    </comment>
    <comment ref="A9" authorId="0">
      <text>
        <r>
          <rPr>
            <sz val="9"/>
            <color indexed="81"/>
            <rFont val="Arial"/>
            <family val="2"/>
          </rPr>
          <t>Verantwortlicher Kooperationspartner: Studieneinheit/ Fachbereich, von dem die Betreuung der Studie ausgeht (z.B. Abt. für Radioonkologie; Hämato-/ Onkologische Gemeinschaftspraxis Dr. Mustermann; …). Bezeichnung Kooperationspartner identisch wie unter www.oncomap.de, sofern gelistet.</t>
        </r>
      </text>
    </comment>
  </commentList>
</comments>
</file>

<file path=xl/comments3.xml><?xml version="1.0" encoding="utf-8"?>
<comments xmlns="http://schemas.openxmlformats.org/spreadsheetml/2006/main">
  <authors>
    <author>OnkoZert - Florina Dudu</author>
  </authors>
  <commentList>
    <comment ref="B6" authorId="0">
      <text>
        <r>
          <rPr>
            <sz val="9"/>
            <color indexed="81"/>
            <rFont val="Arial"/>
            <family val="2"/>
          </rPr>
          <t>Voraussetzung Senior-Mammaoperateur (gemäß EB 5.2.5 beschrieben): positive Qualifikationsbewertung durch OnkoZert</t>
        </r>
      </text>
    </comment>
    <comment ref="C6" authorId="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6" authorId="0">
      <text>
        <r>
          <rPr>
            <sz val="9"/>
            <color indexed="81"/>
            <rFont val="Arial"/>
            <family val="2"/>
          </rPr>
          <t>bei Senior-Operateuren besteht keine Anforderung an die jährliche Expertise, wobei die Voraussetzungen für die Verlängerung der Urkunde nach 5 Jahren gemäß EB 5.2.5 zu beachten sind. Ungeachtet dessen ist die Angabe der operativen Expertise des letzten Kalenderjahres aus Gründen der Nachvollziehbarkeit für den Fachexperten bzw. Ausschuss Zertifikatserteilung erforderlich</t>
        </r>
      </text>
    </comment>
    <comment ref="E24" authorId="0">
      <text>
        <r>
          <rPr>
            <sz val="9"/>
            <color indexed="81"/>
            <rFont val="Arial"/>
            <family val="2"/>
          </rPr>
          <t>Summe "Operierte Primärfälle" Basisdaten kann sich von Summe der Operationen pro Operateur unterscheiden.</t>
        </r>
      </text>
    </comment>
  </commentList>
</comments>
</file>

<file path=xl/comments4.xml><?xml version="1.0" encoding="utf-8"?>
<comments xmlns="http://schemas.openxmlformats.org/spreadsheetml/2006/main">
  <authors>
    <author>OnkoZert</author>
    <author>OnkoZert - Florina Dudu</author>
    <author xml:space="preserve">OnkoZert </author>
    <author>OnkoZert - Orsolya Penzes</author>
  </authors>
  <commentList>
    <comment ref="C5" authorId="0">
      <text>
        <r>
          <rPr>
            <sz val="9"/>
            <color indexed="81"/>
            <rFont val="Arial"/>
            <family val="2"/>
          </rPr>
          <t>Übertrag erfolgt aus Tabellenblatt Basisdaten</t>
        </r>
      </text>
    </comment>
    <comment ref="E5" authorId="0">
      <text>
        <r>
          <rPr>
            <sz val="9"/>
            <color indexed="81"/>
            <rFont val="Arial"/>
            <family val="2"/>
          </rPr>
          <t>Übertrag erfolgt aus Tabellenblatt Basisdaten</t>
        </r>
      </text>
    </comment>
    <comment ref="A7" authorId="0">
      <text>
        <r>
          <rPr>
            <sz val="9"/>
            <color indexed="81"/>
            <rFont val="Arial"/>
            <family val="2"/>
          </rPr>
          <t>KN = Kennzahl</t>
        </r>
      </text>
    </comment>
    <comment ref="B7" authorId="0">
      <text>
        <r>
          <rPr>
            <sz val="9"/>
            <color indexed="81"/>
            <rFont val="Arial"/>
            <family val="2"/>
          </rPr>
          <t>EB = Erhebungbogen
LL = Leitlinie (www.leitlinienprogramm-onkologie.de)</t>
        </r>
      </text>
    </comment>
    <comment ref="C7" authorId="1">
      <text>
        <r>
          <rPr>
            <sz val="9"/>
            <color indexed="81"/>
            <rFont val="Arial"/>
            <family val="2"/>
          </rPr>
          <t>Weitere Erläuterungen siehe FAQ.</t>
        </r>
      </text>
    </comment>
    <comment ref="N7" authorId="2">
      <text>
        <r>
          <rPr>
            <sz val="9"/>
            <color indexed="81"/>
            <rFont val="Arial"/>
            <family val="2"/>
          </rPr>
          <t>Bitte zuerst Tabellenblatt Basisdaten komplett bearbeiten, dann graue Felder Ist-Werte ausfüllen.</t>
        </r>
      </text>
    </comment>
    <comment ref="Q8" authorId="0">
      <text>
        <r>
          <rPr>
            <sz val="9"/>
            <color indexed="81"/>
            <rFont val="Arial"/>
            <family val="2"/>
          </rPr>
          <t>Wenn Zelle grau, bitte Begründung angeben.</t>
        </r>
      </text>
    </comment>
    <comment ref="O10" authorId="0">
      <text>
        <r>
          <rPr>
            <sz val="9"/>
            <color indexed="81"/>
            <rFont val="Arial"/>
            <family val="2"/>
          </rPr>
          <t>Übertrag erfolgt aus Tabellenblatt Basisdaten Primärfälle operiert  
Zelle L33</t>
        </r>
      </text>
    </comment>
    <comment ref="O13" authorId="0">
      <text>
        <r>
          <rPr>
            <sz val="9"/>
            <color indexed="81"/>
            <rFont val="Arial"/>
            <family val="2"/>
          </rPr>
          <t>Übertrag erfolgt aus Tabellenblatt Basisdaten Primärfälle Zelle L30</t>
        </r>
      </text>
    </comment>
    <comment ref="O19" authorId="0">
      <text>
        <r>
          <rPr>
            <sz val="9"/>
            <color indexed="81"/>
            <rFont val="Arial"/>
            <family val="2"/>
          </rPr>
          <t>Übertrag erfolgt aus Tabellenblatt Basisdaten Primärfälle mit BET 
Zellen E34 bis I34</t>
        </r>
      </text>
    </comment>
    <comment ref="C36" authorId="1">
      <text>
        <r>
          <rPr>
            <sz val="9"/>
            <color indexed="81"/>
            <rFont val="Arial"/>
            <family val="2"/>
          </rPr>
          <t>Screeninginstrumente können der S3 Leitlinie Psychoonkologische Diagnostik, Beratung und Behandlung von erwachsenen Krebspat. entnommen werden</t>
        </r>
      </text>
    </comment>
    <comment ref="F36" authorId="1">
      <text>
        <r>
          <rPr>
            <sz val="9"/>
            <color indexed="81"/>
            <rFont val="Arial"/>
            <family val="2"/>
          </rPr>
          <t>Distress-Screnning beinhaltet die Anwendung eines validen Distressinstruments (analog zur S3 Leitlinie Psychoonkologische Diagnostik, Beratung und Behandlung von erwachsenen Krebspat.)</t>
        </r>
      </text>
    </comment>
    <comment ref="O37" authorId="0">
      <text>
        <r>
          <rPr>
            <sz val="9"/>
            <color indexed="81"/>
            <rFont val="Arial"/>
            <family val="2"/>
          </rPr>
          <t>Übertrag erfolgt aus Tabellenblatt Basisdaten Primärfälle
Zelle L30 + Nenner KN3</t>
        </r>
      </text>
    </comment>
    <comment ref="O40" authorId="0">
      <text>
        <r>
          <rPr>
            <sz val="9"/>
            <color indexed="81"/>
            <rFont val="Arial"/>
            <family val="2"/>
          </rPr>
          <t>Übertrag erfolgt aus Tabellenblatt Basisdaten Primärfälle Zelle L30 + Nenner KN3</t>
        </r>
      </text>
    </comment>
    <comment ref="O42" authorId="0">
      <text>
        <r>
          <rPr>
            <sz val="9"/>
            <color indexed="81"/>
            <rFont val="Arial"/>
            <family val="2"/>
          </rPr>
          <t>Der Zähler ist keine Teilmenge des Nenners.
Übertrag erfolgt aus Tabellenblatt Studien Zelle C5</t>
        </r>
      </text>
    </comment>
    <comment ref="O43" authorId="0">
      <text>
        <r>
          <rPr>
            <sz val="9"/>
            <color indexed="81"/>
            <rFont val="Arial"/>
            <family val="2"/>
          </rPr>
          <t>Übertrag erfolgt aus Tabellenblatt Basisdaten
Primärfälle Zelle L30</t>
        </r>
      </text>
    </comment>
    <comment ref="O46" authorId="0">
      <text>
        <r>
          <rPr>
            <sz val="9"/>
            <color indexed="81"/>
            <rFont val="Arial"/>
            <family val="2"/>
          </rPr>
          <t>Übertrag erfolgt aus Tabellenblatt Basisdaten
Operierte Primärfälle Zelle L33</t>
        </r>
      </text>
    </comment>
    <comment ref="O48" authorId="0">
      <text>
        <r>
          <rPr>
            <sz val="9"/>
            <color indexed="81"/>
            <rFont val="Arial"/>
            <family val="2"/>
          </rPr>
          <t>Übertrag erfolgt aus Tabellenblatt Basisdaten
Primärfälle Zelle L30</t>
        </r>
      </text>
    </comment>
    <comment ref="O51" authorId="3">
      <text>
        <r>
          <rPr>
            <sz val="9"/>
            <color indexed="81"/>
            <rFont val="Arial"/>
            <family val="2"/>
          </rPr>
          <t>Übertrag erfolgt aus Nenner KN3</t>
        </r>
      </text>
    </comment>
    <comment ref="O60" authorId="0">
      <text>
        <r>
          <rPr>
            <sz val="9"/>
            <color indexed="81"/>
            <rFont val="Arial"/>
            <family val="2"/>
          </rPr>
          <t>Übertrag erfolgt aus Tabellenblatt Basisdaten
Primärfälle Mastektomien  Zelle L35</t>
        </r>
      </text>
    </comment>
    <comment ref="O61" authorId="0">
      <text>
        <r>
          <rPr>
            <sz val="9"/>
            <color indexed="81"/>
            <rFont val="Arial"/>
            <family val="2"/>
          </rPr>
          <t>Übertrag erfolgt aus Tabellenblatt Basisdaten
Primärfälle operiert 
Zelle L33</t>
        </r>
      </text>
    </comment>
    <comment ref="O76" authorId="0">
      <text>
        <r>
          <rPr>
            <sz val="9"/>
            <color indexed="81"/>
            <rFont val="Arial"/>
            <family val="2"/>
          </rPr>
          <t>Keine Beschränkung auf Primärfälle</t>
        </r>
      </text>
    </comment>
    <comment ref="O79" authorId="0">
      <text>
        <r>
          <rPr>
            <sz val="9"/>
            <color indexed="81"/>
            <rFont val="Arial"/>
            <family val="2"/>
          </rPr>
          <t>Übertrag erfolgt aus Tabellenblatt Basisdaten
Primärfälle operiert 
Zelle L33</t>
        </r>
      </text>
    </comment>
  </commentList>
</comments>
</file>

<file path=xl/comments5.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J8" authorId="0">
      <text>
        <r>
          <rPr>
            <sz val="9"/>
            <color indexed="81"/>
            <rFont val="Arial"/>
            <family val="2"/>
          </rPr>
          <t>Übertrag erfolgt aus Tabellenblatt Basisdaten</t>
        </r>
      </text>
    </comment>
  </commentList>
</comments>
</file>

<file path=xl/comments6.xml><?xml version="1.0" encoding="utf-8"?>
<comments xmlns="http://schemas.openxmlformats.org/spreadsheetml/2006/main">
  <authors>
    <author>OnkoZert</author>
  </authors>
  <commentList>
    <comment ref="C5" authorId="0">
      <text>
        <r>
          <rPr>
            <sz val="9"/>
            <color indexed="81"/>
            <rFont val="Arial"/>
            <family val="2"/>
          </rPr>
          <t>Übertrag erfolgt aus Tabellenblatt Basisdaten</t>
        </r>
      </text>
    </comment>
    <comment ref="C7" authorId="0">
      <text>
        <r>
          <rPr>
            <sz val="9"/>
            <color indexed="81"/>
            <rFont val="Arial"/>
            <family val="2"/>
          </rPr>
          <t>Übertrag erfolgt aus Tabellenblatt Basisdaten</t>
        </r>
      </text>
    </comment>
    <comment ref="O7" authorId="0">
      <text>
        <r>
          <rPr>
            <sz val="9"/>
            <color indexed="81"/>
            <rFont val="Arial"/>
            <family val="2"/>
          </rPr>
          <t>Übertrag erfolgt aus Tabellenblatt Basisdaten</t>
        </r>
      </text>
    </comment>
    <comment ref="R31" authorId="0">
      <text>
        <r>
          <rPr>
            <b/>
            <sz val="9"/>
            <color indexed="81"/>
            <rFont val="Arial"/>
            <family val="2"/>
          </rPr>
          <t>Voraussetzung REDZYK mind. 70,0%</t>
        </r>
      </text>
    </comment>
  </commentList>
</comments>
</file>

<file path=xl/comments7.xml><?xml version="1.0" encoding="utf-8"?>
<comments xmlns="http://schemas.openxmlformats.org/spreadsheetml/2006/main">
  <authors>
    <author>OnkoZert</author>
  </authors>
  <commentList>
    <comment ref="B6" authorId="0">
      <text>
        <r>
          <rPr>
            <sz val="9"/>
            <color indexed="81"/>
            <rFont val="Arial"/>
            <family val="2"/>
          </rPr>
          <t>Übertrag erfolgt aus Tabellenblatt Basisdaten</t>
        </r>
      </text>
    </comment>
    <comment ref="B8"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B15" authorId="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<sst xmlns="http://schemas.openxmlformats.org/spreadsheetml/2006/main" count="2738" uniqueCount="1648">
  <si>
    <t>Zähler / Anzahl</t>
  </si>
  <si>
    <t>Begründung / Ursache</t>
  </si>
  <si>
    <t>Follow-Up Quote in %
= (O + P)  / N</t>
  </si>
  <si>
    <t>Spalte / Zelle</t>
  </si>
  <si>
    <t>Erläuterung hinsichtlich Datendefizit
Begründung / Ursachenanalyse / Aktionen</t>
  </si>
  <si>
    <t>Bundesland / Land</t>
  </si>
  <si>
    <t>RoMed Klinikum Rosenheim</t>
  </si>
  <si>
    <t>Brustzentrum Städtisches Klinikum Karlsruhe</t>
  </si>
  <si>
    <t>Universitätsmedizin Greifswald</t>
  </si>
  <si>
    <t>Brustzentrum Ludwigshafen</t>
  </si>
  <si>
    <t>Klinikum Darmstadt</t>
  </si>
  <si>
    <t>Brustzentrum Celle</t>
  </si>
  <si>
    <t>Klinikum Frankfurt Höchst</t>
  </si>
  <si>
    <t>Brustkrebszentrum Martin-Luther-Krankenhaus Berlin</t>
  </si>
  <si>
    <t>Martin-Luther-Krankenhaus Berlin</t>
  </si>
  <si>
    <t>Brustzentrum Siloah St.Trudpert Klinikum Pforzheim</t>
  </si>
  <si>
    <t>Klinikum Südstadt Rostock</t>
  </si>
  <si>
    <t>Daten-qualität</t>
  </si>
  <si>
    <t>c37.CancerCenter</t>
  </si>
  <si>
    <t>Tudok (Tumorzentrum Regensburg)</t>
  </si>
  <si>
    <t>Tumorzentrum Weser-Ems</t>
  </si>
  <si>
    <t>Tumorzentrum Ostsachsen</t>
  </si>
  <si>
    <t>Plausi unklar</t>
  </si>
  <si>
    <t>Eingeleitete / geplante Aktionen</t>
  </si>
  <si>
    <t>Allgemeine Feststellungen</t>
  </si>
  <si>
    <t>Allgemeine Hinweise</t>
  </si>
  <si>
    <t>Allgemeine Abweichungen</t>
  </si>
  <si>
    <t>Bewertung Ausschuss</t>
  </si>
  <si>
    <t>Anmerkung OnkoZert</t>
  </si>
  <si>
    <t>Feststellung</t>
  </si>
  <si>
    <t>Hinweis</t>
  </si>
  <si>
    <t>Abweichung</t>
  </si>
  <si>
    <t>ID_intern</t>
  </si>
  <si>
    <t>ID:c</t>
  </si>
  <si>
    <t>ID: f</t>
  </si>
  <si>
    <t>Plausibilität unklar; durchschnittliche Follow-Up Quote &gt; 95%; ID: g</t>
  </si>
  <si>
    <t>ID: a</t>
  </si>
  <si>
    <t>Sollvorgabe nicht erfüllt; durchschnittliche Follow-Up Quote &lt; 70%; ID: e</t>
  </si>
  <si>
    <t>ID: h</t>
  </si>
  <si>
    <t>Erläuterung hinsichtlich Datendefizit</t>
  </si>
  <si>
    <t>Datenverifizierung_ID</t>
  </si>
  <si>
    <t>Rotkreuzklinikum München, Frauenklinik</t>
  </si>
  <si>
    <t>Harzklinikum Dorothea Christiane Erxleben</t>
  </si>
  <si>
    <t>OncoBox</t>
  </si>
  <si>
    <t>Für Übertragung in Datendefizite_KB:</t>
  </si>
  <si>
    <t>Alle KN leer:</t>
  </si>
  <si>
    <t>Endokrine Therapie bei Metastasierung</t>
  </si>
  <si>
    <t>QuaDoSta</t>
  </si>
  <si>
    <t>N+</t>
  </si>
  <si>
    <t>M1</t>
  </si>
  <si>
    <t xml:space="preserve">(N0, M0) </t>
  </si>
  <si>
    <t>(N0, M0)</t>
  </si>
  <si>
    <t>Patientinnen 
(Frauen)</t>
  </si>
  <si>
    <t>Patienten 
(Männer)</t>
  </si>
  <si>
    <t xml:space="preserve"> </t>
  </si>
  <si>
    <t>K</t>
  </si>
  <si>
    <t xml:space="preserve">N+ (jedes T inkl. Tx,  M0) </t>
  </si>
  <si>
    <t xml:space="preserve">M1 (jedes N, jedes T inkl. Tis / Tx) </t>
  </si>
  <si>
    <t>nicht zuzuordnen</t>
  </si>
  <si>
    <t>M</t>
  </si>
  <si>
    <t>keine Rückmeldung  (=N-O-P)</t>
  </si>
  <si>
    <t>AC</t>
  </si>
  <si>
    <t xml:space="preserve">T1  (N0, M0)  </t>
  </si>
  <si>
    <t xml:space="preserve">T2  (N0, M0)  </t>
  </si>
  <si>
    <r>
      <t>T3</t>
    </r>
    <r>
      <rPr>
        <vertAlign val="superscript"/>
        <sz val="8"/>
        <rFont val="Arial"/>
        <family val="2"/>
      </rPr>
      <t xml:space="preserve">  </t>
    </r>
    <r>
      <rPr>
        <sz val="8"/>
        <rFont val="Arial"/>
        <family val="2"/>
      </rPr>
      <t xml:space="preserve">(N0, M0)  </t>
    </r>
  </si>
  <si>
    <r>
      <t xml:space="preserve">T4 </t>
    </r>
    <r>
      <rPr>
        <vertAlign val="superscript"/>
        <sz val="8"/>
        <rFont val="Arial"/>
        <family val="2"/>
      </rPr>
      <t xml:space="preserve"> </t>
    </r>
    <r>
      <rPr>
        <sz val="8"/>
        <rFont val="Arial"/>
        <family val="2"/>
      </rPr>
      <t xml:space="preserve">(N0, M0)  </t>
    </r>
  </si>
  <si>
    <t>davon posttherapeutisch 
nicht tumorfrei</t>
  </si>
  <si>
    <t>Mehrfachnennung 
möglich</t>
  </si>
  <si>
    <t>Werte Spalte T "kein Ereignis pro Fall eingetreten" dürfen keine negativen Werte annehmen</t>
  </si>
  <si>
    <t>1) Definition identisch Basisdaten (Übertragung letztes Kalenderjahr automatisch aus Tabelle Basisdaten)</t>
  </si>
  <si>
    <t>V, W, X, Y</t>
  </si>
  <si>
    <t>Die einzelnen Werte in den Spalten V, W, X, und Y dürfen den Wert in Spalte U nicht übersteigen</t>
  </si>
  <si>
    <t>AA, AB, AC, AD</t>
  </si>
  <si>
    <t>Die einzelnen Werte in den Spalten AA, AB, AC, und AD dürfen den Wert in Spalte Z nicht übersteigen</t>
  </si>
  <si>
    <t xml:space="preserve">Werte Spalte M "davon posttherapeutisch nicht tumorfrei" müssen kleiner gleich sein als Spalte C </t>
  </si>
  <si>
    <t>Spalte C</t>
  </si>
  <si>
    <t>3) In der Regel werden die Follow-Up-Daten entweder extern (Krebsregister) oder durch das Zentrum eingeholt. Eine Kombination ist möglich (jedoch keine doppelte Zuordnung!).</t>
  </si>
  <si>
    <t>Werte Spalte Q "keine Rückmeldung" dürfen keine negativen Werte annehmen</t>
  </si>
  <si>
    <t>Werte Spalte N "Grundgesamtheit Follow-Up" dürfen keine negativen Werte annehmen</t>
  </si>
  <si>
    <t>Q &lt; 0</t>
  </si>
  <si>
    <t>N &lt; 0</t>
  </si>
  <si>
    <t>zu viele Patientinnen im "davon posttherapeutisch nicht tumorfrei"</t>
  </si>
  <si>
    <t xml:space="preserve">Werte in Spalte M müssen kleiner gleich sein als Spalte C </t>
  </si>
  <si>
    <t>Zahlen in Spalte N dürfen keine negativen Werte annehmen</t>
  </si>
  <si>
    <t>Zahlen in Spalte Q dürfen keine negativen Werte annehmen</t>
  </si>
  <si>
    <t>Fehler bei Ereignisse - lebend</t>
  </si>
  <si>
    <t>Fehler bei Ereignisse - verstorben</t>
  </si>
  <si>
    <t>Werte in Spalte AA, AB, AC, AD dürfen den Wert Spalte Z nicht übersteigen</t>
  </si>
  <si>
    <t>Werte in Spalte V, W, X, Y dürfen den Wert Spalte U nicht übersteigen</t>
  </si>
  <si>
    <t>ID: m</t>
  </si>
  <si>
    <t>ID: p</t>
  </si>
  <si>
    <t>ID:n</t>
  </si>
  <si>
    <t>ID:o</t>
  </si>
  <si>
    <t>spalte M &gt; spalte C</t>
  </si>
  <si>
    <t>negativ T</t>
  </si>
  <si>
    <t>negativ N</t>
  </si>
  <si>
    <t>negativ Q</t>
  </si>
  <si>
    <t>Ereignis - lebend</t>
  </si>
  <si>
    <t>Ereignis - verstorben</t>
  </si>
  <si>
    <t>Anzahl Primärfälle</t>
  </si>
  <si>
    <t xml:space="preserve">&gt; durschnittliche FU </t>
  </si>
  <si>
    <t>&lt; FU Nachsorgejahre</t>
  </si>
  <si>
    <t>ID: q</t>
  </si>
  <si>
    <t>geringe Follow-Up Quote Nachsorgejahre</t>
  </si>
  <si>
    <t>wenn sich Minuswerte berechnen - "Grundgesamtheit Follow-Up"</t>
  </si>
  <si>
    <t>wenn sich Minuswerte berechnen - "keine Rückmeldung"</t>
  </si>
  <si>
    <t xml:space="preserve">wenn sich Minuswerte berechnen - "kein Ereignis pro Fall eingetreten" </t>
  </si>
  <si>
    <t>≥ 100</t>
  </si>
  <si>
    <t>Bruchsaler Brustzentrum</t>
  </si>
  <si>
    <t>Frauenklinik Fürst-Stirum-Klinik Bruchsal</t>
  </si>
  <si>
    <t>Brustzentrum Trier</t>
  </si>
  <si>
    <t>Brustzentrum Weiden - Marktredwitz</t>
  </si>
  <si>
    <t>Klinikum Fichtelgebirge Marktredwitz</t>
  </si>
  <si>
    <t>St. Bernward-Krankenhaus</t>
  </si>
  <si>
    <t>Brustzentrum Reutlingen</t>
  </si>
  <si>
    <t>Brustzentrum Hohenlohe</t>
  </si>
  <si>
    <t>Westküstenklinikum Heide</t>
  </si>
  <si>
    <t>Klinikum Itzehoe</t>
  </si>
  <si>
    <t>Friedrich-Ebert-Krankenhaus Neumünster</t>
  </si>
  <si>
    <t>Brustzentrum Ammerland-Klinik</t>
  </si>
  <si>
    <t>Brustzentrum Mittelbaden</t>
  </si>
  <si>
    <t>Interdisziplinäres Brustzentrum Braunschweig</t>
  </si>
  <si>
    <t>Brustzentrum Augsburg</t>
  </si>
  <si>
    <t>Brustzentrum am Dietrich-Bonhoeffer-Klinikum</t>
  </si>
  <si>
    <t>Dietrich-Bonhoeffer-Klinikum Neubrandenburg</t>
  </si>
  <si>
    <t>Klinikum Memmingen</t>
  </si>
  <si>
    <t>Regio Klinikum Pinneberg</t>
  </si>
  <si>
    <t>Brustzentrum Dachau</t>
  </si>
  <si>
    <t>Klinikum Ludwigsburg</t>
  </si>
  <si>
    <t>Interdisziplinäres Brustzentrum Klinikum Nürnberg</t>
  </si>
  <si>
    <t>Klinikum Nürnberg</t>
  </si>
  <si>
    <t>Brustzentrum Klinikum Hildesheim</t>
  </si>
  <si>
    <t>Interdisziplinäres Brustzentrum Jena</t>
  </si>
  <si>
    <t>Universitätsklinikum Jena</t>
  </si>
  <si>
    <t>Brustzentrum Klinikum Bayreuth</t>
  </si>
  <si>
    <t>Klinikum Bayreuth</t>
  </si>
  <si>
    <t>Brustzentrum St. Elisabeth-Krankenhaus Leipzig</t>
  </si>
  <si>
    <t>Texte Matrix Datenquali</t>
  </si>
  <si>
    <t>Fehlermeldungen Matrix</t>
  </si>
  <si>
    <t>Auswahl treffen über Dropdown-Liste.</t>
  </si>
  <si>
    <t>Zuerst Reg.-Nr auswählen, dann das jeweilig zugehörige Krebsregister</t>
  </si>
  <si>
    <t>Nur Texteingabe bis 100 Zeichen möglich.</t>
  </si>
  <si>
    <t>Kennzahl</t>
  </si>
  <si>
    <t>Art</t>
  </si>
  <si>
    <t>nicht relevant</t>
  </si>
  <si>
    <t>Kann nicht kleiner sein als operierte Primärfälle</t>
  </si>
  <si>
    <t>St. Elisabeth-Krankenhaus Leipzig</t>
  </si>
  <si>
    <t>Brustzentrum Ingolstadt</t>
  </si>
  <si>
    <t>Krankenhaus vom Deutschen Roten Kreuz Saarlouis</t>
  </si>
  <si>
    <t>Brustzentrum Schweinfurt-Mainfranken</t>
  </si>
  <si>
    <t>Nordwestsächsisches Brustzentrum Leipzig</t>
  </si>
  <si>
    <t>Brustzentrum Dresden</t>
  </si>
  <si>
    <t>Brustzentrum Neumarkt</t>
  </si>
  <si>
    <t>Klinikum Neumarkt</t>
  </si>
  <si>
    <t>Österreich</t>
  </si>
  <si>
    <t>Brustzentrum Westend</t>
  </si>
  <si>
    <t>Brustzentrum Vinzenzkrankenhaus Hannover</t>
  </si>
  <si>
    <t>Brustzentrum Luzern</t>
  </si>
  <si>
    <t>Frauenklinik rechts der Isar der TU München</t>
  </si>
  <si>
    <t>Brustzentrum Donau-Riß</t>
  </si>
  <si>
    <t>Brustzentrum Klinikum Stuttgart/Frauenklinik</t>
  </si>
  <si>
    <t>Interdisziplinäres Brustzentrum Berlin Buch</t>
  </si>
  <si>
    <t>Brustzentrum Kassel</t>
  </si>
  <si>
    <t>Klinikum Konstanz</t>
  </si>
  <si>
    <t>Klinikum Friedrichshafen</t>
  </si>
  <si>
    <t>Brustzentrum Worms</t>
  </si>
  <si>
    <t>Schwerpunktkrankenhaus Brixen</t>
  </si>
  <si>
    <t>Kreisklinik Bad Reichenhall</t>
  </si>
  <si>
    <t>Brustzentrum Starnberg</t>
  </si>
  <si>
    <t>Klinikum Starnberg (Klinik für Frauenheilkunde und Geburtshilfe)</t>
  </si>
  <si>
    <t>Brustzentrum Schaumburg</t>
  </si>
  <si>
    <t>Brustzentrum Wolfsburg</t>
  </si>
  <si>
    <t>Marienhaus Klinikum St. Elisabeth Neuwied</t>
  </si>
  <si>
    <t>Helios Mariahilf Klinik</t>
  </si>
  <si>
    <t>Klinikum Fulda gAG</t>
  </si>
  <si>
    <t>Brustzentrum Stade-Buxtehude</t>
  </si>
  <si>
    <t>Elbe Klinikum Stade</t>
  </si>
  <si>
    <t>Elbe Klinikum Buxtehude</t>
  </si>
  <si>
    <t>Brustzentrum Osnabrück</t>
  </si>
  <si>
    <t>Niels-Stensen-Kliniken, Franziskus-Hospital Harderberg</t>
  </si>
  <si>
    <t>Brustzentrum St. Vincenz-Krankenhaus Limburg</t>
  </si>
  <si>
    <t>Brustzentrum Westmittelfranken</t>
  </si>
  <si>
    <t>Universitätsklinikum Schleswig-Holstein, Campus Lübeck</t>
  </si>
  <si>
    <t>Brustzentrum Universitäts-Frauenklinik Frankfurt</t>
  </si>
  <si>
    <t>Brust-Zentrum Kiel</t>
  </si>
  <si>
    <t>Universitätsklinikum Schleswig-Holstein Campus Kiel</t>
  </si>
  <si>
    <t>Interdisziplinäres Brustzentrum Düsseldorf</t>
  </si>
  <si>
    <t>Brustzentrum Nordhausen</t>
  </si>
  <si>
    <t>Marienhospital Bottrop</t>
  </si>
  <si>
    <t>Bei den „hellrot“ hinterlegten Feldern liegt eine Falscheingabe vor, diese ist zu korrigieren.</t>
  </si>
  <si>
    <t>B</t>
  </si>
  <si>
    <t>Fehlermeldungen Basisdaten</t>
  </si>
  <si>
    <t>Fehlermeldungen Kennzahlenbogen</t>
  </si>
  <si>
    <t>Anzahl Pat. Im Follow-Up zu hoch.</t>
  </si>
  <si>
    <t>Eingabe kann nicht größer sein als Ereignisse Spalte V.</t>
  </si>
  <si>
    <t>Zahlen müssen manuell eingegeben werden, diese dürfen nicht kopiert werden.</t>
  </si>
  <si>
    <t>Bedingung Wert</t>
  </si>
  <si>
    <t>leere Zellen</t>
  </si>
  <si>
    <t>Hegau-Bodensee-Klinikum Singen</t>
  </si>
  <si>
    <t>Brustzentrum Lüneburg</t>
  </si>
  <si>
    <t>Städtisches Klinikum Lüneburg</t>
  </si>
  <si>
    <t>DRK Krankenhaus Chemnitz-Rabenstein</t>
  </si>
  <si>
    <t>Universitätsklinikum Göttingen</t>
  </si>
  <si>
    <t>Brustzentrum am Marienkrankenhaus Hamburg</t>
  </si>
  <si>
    <t>Brustzentrum Harz</t>
  </si>
  <si>
    <t>Brustzentrum im Marienhof Katholisches Klinikum Koblenz - Montabaur</t>
  </si>
  <si>
    <t>T &lt; 0</t>
  </si>
  <si>
    <t>C &lt; 50</t>
  </si>
  <si>
    <t>R &lt; 60%</t>
  </si>
  <si>
    <t>Brustzentrum am St. Marienhospital Vechta</t>
  </si>
  <si>
    <t>St. Marienhospital Vechta</t>
  </si>
  <si>
    <t>Klinikum Dritter Orden München-Nymphenburg</t>
  </si>
  <si>
    <t>Kooperatives Brustzentrum Lingen-Nordhorn</t>
  </si>
  <si>
    <t>Krankenhaus Waldfriede</t>
  </si>
  <si>
    <t>Brustzentrum Donauwörth</t>
  </si>
  <si>
    <t>Donau-Ries-Klinik Donauwörth</t>
  </si>
  <si>
    <t>Hochwaldkrankenhaus Bad Nauheim</t>
  </si>
  <si>
    <t>Brustzentrum Tauber-Franken</t>
  </si>
  <si>
    <t>Caritas-Krankenhaus Bad Mergentheim</t>
  </si>
  <si>
    <t>Krankenhaus Winsen</t>
  </si>
  <si>
    <t>Brustzentrum Kiel-Mitte an der Park-Klinik</t>
  </si>
  <si>
    <t>Brustkrebszentrum Nahe - Krankenhaus St. Marienwörth</t>
  </si>
  <si>
    <t>Krankenhaus St. Marienwörth</t>
  </si>
  <si>
    <t>Klinikum Wetzlar</t>
  </si>
  <si>
    <t>Brustzentrum Kaiserslautern</t>
  </si>
  <si>
    <t>Brustkompetenzzentrum am Klinikzentrum Linz</t>
  </si>
  <si>
    <t>Brustkrebszentrum Landshut-Achdorf</t>
  </si>
  <si>
    <t>Frauenklinik des Krankenhauses Landshut-Achdorf</t>
  </si>
  <si>
    <t>Brustkrebszentrum Kulmbach</t>
  </si>
  <si>
    <t>Klinikum Kulmbach</t>
  </si>
  <si>
    <t>Brustkrebszentrum Herdecke</t>
  </si>
  <si>
    <t>Gemeinschaftskrankenhaus Herdecke</t>
  </si>
  <si>
    <t>Brustkrebszentrum Witten - Ennepe Ruhr Kreis</t>
  </si>
  <si>
    <t>Brustkrebszentrum Neuruppin | Nordbrandenburg</t>
  </si>
  <si>
    <t>Brustzentrum Werdau - Südwestsachsen</t>
  </si>
  <si>
    <t>Brustkrebszentrum Havelhöhe Berlin</t>
  </si>
  <si>
    <t>Gemeinschaftskrankenhaus Havelhöhe</t>
  </si>
  <si>
    <t>Inselspital Bern</t>
  </si>
  <si>
    <t>Südhessisches Brustzentrum Darmstadt</t>
  </si>
  <si>
    <t>UniversitätsSpital Zürich</t>
  </si>
  <si>
    <t>Brustkrebszentrum Bochum | Herne</t>
  </si>
  <si>
    <t>St. Anna Hospital Herne</t>
  </si>
  <si>
    <t>Universitätsklinikum Essen</t>
  </si>
  <si>
    <t>Allgemeines Krankenhaus Celle</t>
  </si>
  <si>
    <t>Brustkrebszentrum Bad Homburg Hochtaunus-Kliniken</t>
  </si>
  <si>
    <t>Hochtaunus-Kliniken Bad Homburg</t>
  </si>
  <si>
    <t>Brustkrebszentrum Frankfurt - Höchst</t>
  </si>
  <si>
    <t>die inkorrekten und unvollständigen Einträge beheben</t>
  </si>
  <si>
    <t>Zellen müssen nicht ausgefüllt werden</t>
  </si>
  <si>
    <t>Ist-Wert</t>
  </si>
  <si>
    <t>Nr.</t>
  </si>
  <si>
    <t>Kennzahlenziel</t>
  </si>
  <si>
    <t>Zähler</t>
  </si>
  <si>
    <t>Sollvorgabe</t>
  </si>
  <si>
    <t>Nenner</t>
  </si>
  <si>
    <t>%</t>
  </si>
  <si>
    <t>(= Gespräch &gt; 30 min)</t>
  </si>
  <si>
    <t>Primärfälle</t>
  </si>
  <si>
    <t>Studien Patientinnen</t>
  </si>
  <si>
    <t>Operierte Primärfälle</t>
  </si>
  <si>
    <t>Primärfälle Mammakarzinom</t>
  </si>
  <si>
    <t>Siehe Sollvorgabe</t>
  </si>
  <si>
    <t>Anzahl</t>
  </si>
  <si>
    <t>Postoperative Fallbesprechung</t>
  </si>
  <si>
    <t>Prätherapeutische Fallbesprechung</t>
  </si>
  <si>
    <t>Beratung Sozialdienst</t>
  </si>
  <si>
    <t>Mastektomie</t>
  </si>
  <si>
    <t>Revisionsoperationen</t>
  </si>
  <si>
    <t>Postoperative Vorstellung möglichst vieler Primärfälle in der Tumorkonferenz</t>
  </si>
  <si>
    <t>Adäquate Rate an prätherapeutischen Fallbesprechungen</t>
  </si>
  <si>
    <t>(bezogen auf Kennzahlenjahr)</t>
  </si>
  <si>
    <t>Adäquate Rate an Beratung durch Sozialdienst</t>
  </si>
  <si>
    <t>Mastektomien</t>
  </si>
  <si>
    <t>Bestimmung Nodalstatus bei invasivem Mammakarzinom</t>
  </si>
  <si>
    <t>Intraoperative Präparateradio-/-sonographie</t>
  </si>
  <si>
    <t>Möglichst häufig intraoperatives Präparateröntgen/-sonographie nach Markierung</t>
  </si>
  <si>
    <t>Möglichst niedrige Rate an postoperativen Revisions-OP´s</t>
  </si>
  <si>
    <t>Sollvorgabe nicht erfüllt</t>
  </si>
  <si>
    <t>C</t>
  </si>
  <si>
    <t>D</t>
  </si>
  <si>
    <t>E</t>
  </si>
  <si>
    <t>F</t>
  </si>
  <si>
    <t>G</t>
  </si>
  <si>
    <t>H</t>
  </si>
  <si>
    <t>I</t>
  </si>
  <si>
    <t>N</t>
  </si>
  <si>
    <t>O</t>
  </si>
  <si>
    <t>P</t>
  </si>
  <si>
    <t>Q</t>
  </si>
  <si>
    <t>T</t>
  </si>
  <si>
    <t>U</t>
  </si>
  <si>
    <t>V</t>
  </si>
  <si>
    <t>W</t>
  </si>
  <si>
    <t>X</t>
  </si>
  <si>
    <t>Y</t>
  </si>
  <si>
    <t>Z</t>
  </si>
  <si>
    <t>Jahr der Erstdiagnose</t>
  </si>
  <si>
    <t>Summe</t>
  </si>
  <si>
    <t>T1</t>
  </si>
  <si>
    <t>T2</t>
  </si>
  <si>
    <t>T3</t>
  </si>
  <si>
    <t>T4</t>
  </si>
  <si>
    <t>Gesamt</t>
  </si>
  <si>
    <t>Quote</t>
  </si>
  <si>
    <t>Reg.-Nr.</t>
  </si>
  <si>
    <t>Bundesland</t>
  </si>
  <si>
    <t>Thüringen</t>
  </si>
  <si>
    <t>GTDS</t>
  </si>
  <si>
    <t>Tumorzentrum Erfurt</t>
  </si>
  <si>
    <t>Tumordokumentationssystem</t>
  </si>
  <si>
    <t>CREDOS</t>
  </si>
  <si>
    <t>KIS-Erweiterung</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</si>
  <si>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</si>
  <si>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</si>
  <si>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</si>
  <si>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</si>
  <si>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</si>
  <si>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</si>
  <si>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</si>
  <si>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</si>
  <si>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</si>
  <si>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</si>
  <si>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</si>
  <si>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</si>
  <si>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</si>
  <si>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</si>
  <si>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</si>
  <si>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</si>
  <si>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</si>
  <si>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</si>
  <si>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</si>
  <si>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</si>
  <si>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</si>
  <si>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</si>
  <si>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</si>
  <si>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</si>
  <si>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</si>
  <si>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</si>
  <si>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</si>
  <si>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</si>
  <si>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</si>
  <si>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</si>
  <si>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</si>
  <si>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</si>
  <si>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</si>
  <si>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</si>
  <si>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</si>
  <si>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</si>
  <si>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</si>
  <si>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</si>
  <si>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</si>
  <si>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</si>
  <si>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</si>
  <si>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</si>
  <si>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</si>
  <si>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</si>
  <si>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</si>
  <si>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</si>
  <si>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</si>
  <si>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</si>
  <si>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</si>
  <si>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</si>
  <si>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</si>
  <si>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</si>
  <si>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</si>
  <si>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</si>
  <si>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</si>
  <si>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</si>
  <si>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</si>
  <si>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</si>
  <si>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</si>
  <si>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</si>
  <si>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</si>
  <si>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Datenqualität</t>
  </si>
  <si>
    <t>Aktion</t>
  </si>
  <si>
    <t>ID</t>
  </si>
  <si>
    <t>HID</t>
  </si>
  <si>
    <t>EingeleiteteAktionen</t>
  </si>
  <si>
    <t>Aktionen</t>
  </si>
  <si>
    <t>vID</t>
  </si>
  <si>
    <t>Zaehler</t>
  </si>
  <si>
    <t>Nr</t>
  </si>
  <si>
    <t>FormularID</t>
  </si>
  <si>
    <t>ErlaeuterungDatendefizit</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</si>
  <si>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</si>
  <si>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</si>
  <si>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</si>
  <si>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</si>
  <si>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</si>
  <si>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</si>
  <si>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</si>
  <si>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</si>
  <si>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</si>
  <si>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</si>
  <si>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</si>
  <si>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</si>
  <si>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</si>
  <si>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</si>
  <si>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</si>
  <si>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</si>
  <si>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</si>
  <si>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</si>
  <si>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</si>
  <si>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</si>
  <si>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</si>
  <si>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</si>
  <si>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</si>
  <si>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</si>
  <si>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</si>
  <si>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</si>
  <si>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</si>
  <si>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</si>
  <si>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</si>
  <si>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</si>
  <si>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</si>
  <si>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</si>
  <si>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</si>
  <si>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</si>
  <si>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</si>
  <si>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</si>
  <si>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</si>
  <si>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Anzahl BET +  Mastektomie kann nicht größer sein als Anzahl Primärfälle.</t>
  </si>
  <si>
    <t>1. Zähler muss eine positive ganze Zahl sein.</t>
  </si>
  <si>
    <t>2. Zähler kann nicht größer als Nenner sein.</t>
  </si>
  <si>
    <t>2. Nenner kann nicht kleiner als Zähler sein.</t>
  </si>
  <si>
    <t>Format: dd.mm.jjjj</t>
  </si>
  <si>
    <t>Eingabedatum</t>
  </si>
  <si>
    <t xml:space="preserve">1. Nenner muss eine positive ganze Zahl sein. </t>
  </si>
  <si>
    <t>1. Nur positive ganze Zahlen.</t>
  </si>
  <si>
    <t>3. Nenner muss kleiner sein als Anzahl Primärfälle.</t>
  </si>
  <si>
    <t>2. Maximalwert 5000</t>
  </si>
  <si>
    <t>3. Zähler kann nicht größer sein als Anzahl Primärfälle.</t>
  </si>
  <si>
    <t>Tabelle Plausibilitätsabfragen:</t>
  </si>
  <si>
    <t>Zahlen in Spalte T dürfen keine negativen Werte annehmen</t>
  </si>
  <si>
    <t>Eigenentwicklung (MS Excel, MS Access etc.)</t>
  </si>
  <si>
    <t>KRAZTUR</t>
  </si>
  <si>
    <t>Onkomedia</t>
  </si>
  <si>
    <t>Bearbeitungshinweise:</t>
  </si>
  <si>
    <t>Kennzahlenbogen</t>
  </si>
  <si>
    <t>Erstelldatum</t>
  </si>
  <si>
    <t>Plausibilität unklar</t>
  </si>
  <si>
    <t>Verifizierung Zentrum</t>
  </si>
  <si>
    <t xml:space="preserve">Reg.-Nr. </t>
  </si>
  <si>
    <t>Erstzertifizierung</t>
  </si>
  <si>
    <t>Datenqualität Kennzahlen</t>
  </si>
  <si>
    <t>Grundgesamtheit 
(= Nenner)</t>
  </si>
  <si>
    <t>J</t>
  </si>
  <si>
    <t>AA</t>
  </si>
  <si>
    <t>AD</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</si>
  <si>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</si>
  <si>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</si>
  <si>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</si>
  <si>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</si>
  <si>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</si>
  <si>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</si>
  <si>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</si>
  <si>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</si>
  <si>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</si>
  <si>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</si>
  <si>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</si>
  <si>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</si>
  <si>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</si>
  <si>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</si>
  <si>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</si>
  <si>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11</t>
  </si>
  <si>
    <t>12</t>
  </si>
  <si>
    <t>13</t>
  </si>
  <si>
    <t>kein Eintrag</t>
  </si>
  <si>
    <t>n.d.</t>
  </si>
  <si>
    <t>Bearbeitungs-qualität</t>
  </si>
  <si>
    <t>inkorrekt</t>
  </si>
  <si>
    <t>Kennzahlenjahr</t>
  </si>
  <si>
    <t>Datenqualität Matrix</t>
  </si>
  <si>
    <t>Anzahl/Quote</t>
  </si>
  <si>
    <t xml:space="preserve"> &lt;= Sollv. nicht erfüllt</t>
  </si>
  <si>
    <t xml:space="preserve"> &gt;= Sollv. nicht erfüllt</t>
  </si>
  <si>
    <t>&gt;</t>
  </si>
  <si>
    <t>&lt;</t>
  </si>
  <si>
    <t xml:space="preserve"> &lt; Plausi ?</t>
  </si>
  <si>
    <t xml:space="preserve"> &gt; Plausi ?</t>
  </si>
  <si>
    <t>Matrix</t>
  </si>
  <si>
    <t>AB</t>
  </si>
  <si>
    <t>AE</t>
  </si>
  <si>
    <t>Datenqualtiät</t>
  </si>
  <si>
    <t>Kalenderjahr 
(Erstdiagnose)</t>
  </si>
  <si>
    <t xml:space="preserve">nur Prozentwerte können eingegeben werden </t>
  </si>
  <si>
    <t>zu geringe Anzahl der Primärfälle</t>
  </si>
  <si>
    <t>Werte</t>
  </si>
  <si>
    <t>ART</t>
  </si>
  <si>
    <t>plausi</t>
  </si>
  <si>
    <t>sollvorgabe</t>
  </si>
  <si>
    <t>unvollständig</t>
  </si>
  <si>
    <t>Liste zum Übertragen</t>
  </si>
  <si>
    <t>Kalenderjahr(e) 
(Erstdiagnose)</t>
  </si>
  <si>
    <t>Länge</t>
  </si>
  <si>
    <t>Datum Erstzertifizierung</t>
  </si>
  <si>
    <t>Anmerkungen:</t>
  </si>
  <si>
    <t>In dieser Excel-Vorlage sind die nachfolgend skizzierten Plausibilitätsabfragen hinterlegt.</t>
  </si>
  <si>
    <t>Ein Anspruch auf Vollständigkeit besteht nicht.</t>
  </si>
  <si>
    <t xml:space="preserve">Fehlermeldungen </t>
  </si>
  <si>
    <t>zu wenig Primärfälle angegeben</t>
  </si>
  <si>
    <t>A</t>
  </si>
  <si>
    <t>Erläuterung</t>
  </si>
  <si>
    <t>relevant</t>
  </si>
  <si>
    <t>Zentrum</t>
  </si>
  <si>
    <t>Standort</t>
  </si>
  <si>
    <t>a)</t>
  </si>
  <si>
    <t>b)</t>
  </si>
  <si>
    <t>c)</t>
  </si>
  <si>
    <t>d)</t>
  </si>
  <si>
    <t>e)</t>
  </si>
  <si>
    <t>Matrix kann eingereicht werden</t>
  </si>
  <si>
    <t>Für die Bewertung der Matrix, unabhängig ob fakultativ oder obligat, gelten folgende Regelungen:</t>
  </si>
  <si>
    <t>Einrichtung 1</t>
  </si>
  <si>
    <t>Land</t>
  </si>
  <si>
    <t>Brustzentrum Chemnitz</t>
  </si>
  <si>
    <t>Brustzentrum Stuttgart am Marienhospital</t>
  </si>
  <si>
    <t>Marienhospital Stuttgart</t>
  </si>
  <si>
    <t>Brustzentrum Heidenheim</t>
  </si>
  <si>
    <t>Klinikum Heidenheim</t>
  </si>
  <si>
    <t>Brustzentrum Josefinum Augsburg - QBA</t>
  </si>
  <si>
    <t>Brustzentrum Offenburg</t>
  </si>
  <si>
    <t>Kooperatives Brustzentrum Südostbayern</t>
  </si>
  <si>
    <t>Interdisziplinäres Brustzentrum der Universitätsmedizin Greifswald</t>
  </si>
  <si>
    <t>Brustzentrum Universitäts-Frauenklinik Heidelberg</t>
  </si>
  <si>
    <t>Universitätsklinikum Heidelberg</t>
  </si>
  <si>
    <t>Brustzentrum Traunstein - Bad Reichenhall</t>
  </si>
  <si>
    <t>Brustzentrum Ostholstein - Standort Eutin</t>
  </si>
  <si>
    <t>Brustzentrum Ostthüringen</t>
  </si>
  <si>
    <t>Brustzentrum Bamberg</t>
  </si>
  <si>
    <t>Sozialstiftung Bamberg Klinikum am Bruderwald</t>
  </si>
  <si>
    <t>Brustzentrum im Sana Klinikum Lichtenberg</t>
  </si>
  <si>
    <t>Sana Klinikum Lichtenberg</t>
  </si>
  <si>
    <t>Brustzentrum Buchholz-Winsen</t>
  </si>
  <si>
    <t>Krankenhaus Buchholz</t>
  </si>
  <si>
    <t>Brustzentrum Heilbronn - Franken</t>
  </si>
  <si>
    <t>Brustgesundheitszentrum Brixen - Meran Partner der Universitätsklinik Innsbruck</t>
  </si>
  <si>
    <t>Schwerpunktkrankenhaus Meran</t>
  </si>
  <si>
    <t>Brustzentrum am Klinikum Magdeburg</t>
  </si>
  <si>
    <t>Interdisziplinäres Brustzentrum der Universitätsfrauenklinik Ulm (IBZ)</t>
  </si>
  <si>
    <t>Universitätsklinikum Ulm</t>
  </si>
  <si>
    <t>Euregio-Brust-Zentrum St.-Antonius-Hospital</t>
  </si>
  <si>
    <t>St.-Antonius-Hospital Eschweiler</t>
  </si>
  <si>
    <t>abc AalenBrustCentrum</t>
  </si>
  <si>
    <t>Universitäres Brustzentrum Würzburg</t>
  </si>
  <si>
    <t>Universitätsfrauenklinik Würzburg</t>
  </si>
  <si>
    <t>Brustzentrum Vogtland</t>
  </si>
  <si>
    <t>Klinikum Obergöltzsch Rodewisch</t>
  </si>
  <si>
    <t>Brustzentrum im Evangelischen Waldkrankenhaus Spandau</t>
  </si>
  <si>
    <t>Evangelisches Waldkrankenhaus Spandau</t>
  </si>
  <si>
    <t>Brustzentrum Weinheim</t>
  </si>
  <si>
    <t>GRN-Klinik Weinheim</t>
  </si>
  <si>
    <t>Brustzentrum Franziskus Hospital Bielefeld</t>
  </si>
  <si>
    <t>Brustzentrum Speyer</t>
  </si>
  <si>
    <t>Diakonissen-Stiftungs-Krankenhaus Speyer</t>
  </si>
  <si>
    <t>Brustzentrum der Medizinischen Hochschule Hannover</t>
  </si>
  <si>
    <t>Klinik für Frauenheilkunde und Geburtshilfe</t>
  </si>
  <si>
    <t>Oldenburger Brustzentrum</t>
  </si>
  <si>
    <t>Pius Hospital Oldenburg</t>
  </si>
  <si>
    <t>Universitäts-Brustzentrum Tübingen</t>
  </si>
  <si>
    <t>Krankenhaus Salem</t>
  </si>
  <si>
    <t>Charité - Campus Mitte</t>
  </si>
  <si>
    <t>Kooperatives Brustzentrum Klinikum Region Hannover</t>
  </si>
  <si>
    <t>Klinikum Robert Koch Gehrden</t>
  </si>
  <si>
    <t>Interdisziplinäres Brustzentrum Mannheim</t>
  </si>
  <si>
    <t>Universitätsmedizin Mannheim (UMM)</t>
  </si>
  <si>
    <t>Kooperatives Brustzentrum Landshut</t>
  </si>
  <si>
    <t>Brustzentrum Saar Mitte</t>
  </si>
  <si>
    <t>Brustzentrum am Universitätsklinikum Hamburg-Eppendorf</t>
  </si>
  <si>
    <t>Universitätsklinikum Hamburg-Eppendorf</t>
  </si>
  <si>
    <t>Brustzentrum Klinikum Oldenburg</t>
  </si>
  <si>
    <t>Klinikum Oldenburg</t>
  </si>
  <si>
    <t>Klinikum Sindelfingen-Böblingen; Kliniken Böblingen</t>
  </si>
  <si>
    <t>Evangelisches Diakoniekrankenhaus</t>
  </si>
  <si>
    <t>Kreiskrankenhaus Emmendingen</t>
  </si>
  <si>
    <t>Städtisches Klinikum Karlsruhe</t>
  </si>
  <si>
    <t>Siloah St. Trudpert-Klinikum</t>
  </si>
  <si>
    <t>Brustzentrum Eggenfelden</t>
  </si>
  <si>
    <t>Brustzentrum Sana Klinikum Hameln-Pyrmont</t>
  </si>
  <si>
    <t>Sana Klinikum Hameln-Pyrmont</t>
  </si>
  <si>
    <t>Mammazentrum Ostsachsen</t>
  </si>
  <si>
    <t>Brustzentrum im St. Josefs-Hospital Wiesbaden</t>
  </si>
  <si>
    <t>St. Josefs-Hospital Wiesbaden</t>
  </si>
  <si>
    <t>Brustzentrum Nürtingen Ruit</t>
  </si>
  <si>
    <t>Brustzentrum Klinikum Fürth</t>
  </si>
  <si>
    <t>Asklepios Brustzentrum Hamburg</t>
  </si>
  <si>
    <t>Asklepios Klinik Barmbek</t>
  </si>
  <si>
    <t>Kooperatives Brustzentrum Wiesbaden</t>
  </si>
  <si>
    <t>Universitäts-Brustzentrum Franken</t>
  </si>
  <si>
    <t>≥ 95%</t>
  </si>
  <si>
    <t xml:space="preserve">           Erstelldatum</t>
  </si>
  <si>
    <t>&lt; 15%</t>
  </si>
  <si>
    <t>&gt; 65%</t>
  </si>
  <si>
    <t>&gt; 40%</t>
  </si>
  <si>
    <t>Kennzahldefinition</t>
  </si>
  <si>
    <t>Basisdaten Brust</t>
  </si>
  <si>
    <t>Kennzahlenbogen Brust</t>
  </si>
  <si>
    <t>Matrix Brust - Ergebnisqualität Primärbehandlung</t>
  </si>
  <si>
    <t>2. Zähler muss eine positive ganze Zahl sein.</t>
  </si>
  <si>
    <t>3. Zähler kann nicht größer als Nenner sein.</t>
  </si>
  <si>
    <t>Endokrine Therapie bei möglichst vielen steroidrez. pos. Primärfällen</t>
  </si>
  <si>
    <t>Möglichst häufig endokrine Therapie als First-line-Therapie bei Metastasierung</t>
  </si>
  <si>
    <t>Nach 1 J.: ≥ 10%</t>
  </si>
  <si>
    <t>Prätherapeutische histologische Sicherung</t>
  </si>
  <si>
    <t>Möglichst häufig prätherapeutische histologische Sicherung</t>
  </si>
  <si>
    <t>≥ 90%</t>
  </si>
  <si>
    <t>Ganze Zahl zwischen 0 und 5000 eingeben.</t>
  </si>
  <si>
    <t>≤ 5%</t>
  </si>
  <si>
    <t>Operationen mit präoperativer  Drahtmarkierung gesteuert durch Mammographie oder Sonographie</t>
  </si>
  <si>
    <t>5.2.11</t>
  </si>
  <si>
    <t>5.2.12</t>
  </si>
  <si>
    <t>LK-Entfernung bei DCIS</t>
  </si>
  <si>
    <t>Texte i.O.</t>
  </si>
  <si>
    <t>Keine Anbindung an Klinisches Krebsregister</t>
  </si>
  <si>
    <t>Unbekannt</t>
  </si>
  <si>
    <t>Nicht gelistet</t>
  </si>
  <si>
    <t>-----</t>
  </si>
  <si>
    <t>Möglichst selten LK-Entfernung bei DCIS</t>
  </si>
  <si>
    <t>Zähler :</t>
  </si>
  <si>
    <t>Nenner:</t>
  </si>
  <si>
    <t>Brustkompetenzzentrum Ketteler Krankenhaus</t>
  </si>
  <si>
    <t>Ketteler Krankenhaus Offenbach</t>
  </si>
  <si>
    <t>Brustzentrum Weißenfels</t>
  </si>
  <si>
    <t>IBZ - Interdisziplinäres Brustzentrum am Klinikum Kassel</t>
  </si>
  <si>
    <t>Brustzentrum Schwäbisch Gmünd</t>
  </si>
  <si>
    <t>Stauferklinikum Schwäbisch Gmünd Frauenklinik</t>
  </si>
  <si>
    <t>Klinikum St. Marien Amberg</t>
  </si>
  <si>
    <t>Brustzentrum St. Joseph-Stift Bremen</t>
  </si>
  <si>
    <t>Krankenhaus St. Joseph-Stift Bremen</t>
  </si>
  <si>
    <t>Brustzentrum Villingen-Schwenningen / Tuttlingen</t>
  </si>
  <si>
    <t>Klinikum Landkreis Tuttlingen</t>
  </si>
  <si>
    <t>Brustzentrum Bremerhaven</t>
  </si>
  <si>
    <t>Klinikum Bremerhaven - Reinkenheide</t>
  </si>
  <si>
    <t>Brustzentrum Halle</t>
  </si>
  <si>
    <t>Universitätsklinikum Carl Gustav Carus</t>
  </si>
  <si>
    <t>Universitäts-Brustzentrum am Universitätsklinikum des Saarlandes</t>
  </si>
  <si>
    <t>Universitätsklinikum des Saarlandes</t>
  </si>
  <si>
    <t>Brustzentrum Oberschwaben</t>
  </si>
  <si>
    <t>Nachsorgejahr "relevant" (Spalte A) =&gt; Sämtliche „hellgrau“ hinterlegte Felder sollten vollständig bearbeitet werden; dies gilt auch für Nullwerte (=0).</t>
  </si>
  <si>
    <t>Kennzahlenbogen - Analyseprotokoll Datendefizite Brust</t>
  </si>
  <si>
    <t>Matrix - Analyseprotokoll Datendefizite Brust</t>
  </si>
  <si>
    <t>&lt; 0,01%</t>
  </si>
  <si>
    <t>relevante Nachsorgejahre nicht/unvollständig bearbeitet</t>
  </si>
  <si>
    <t>geringe Follow-Up Quote der Nachsorgejahre</t>
  </si>
  <si>
    <t>Geringe Follow-Up Quote der Nachsorgejahre</t>
  </si>
  <si>
    <t>Relevante Nachsorgejahre nicht/unvollständig bearbeitet</t>
  </si>
  <si>
    <t>Ganze Zahlen</t>
  </si>
  <si>
    <t>Alle relevanten Nachsorgejahre sind bei "Reduktion Auditzyklus" Brust zu bearbeiten, abhängig vom Datum der Erstzertifizierung</t>
  </si>
  <si>
    <t>Nicht ausgefüllte Zellen von relevanten Nachsorgejahren</t>
  </si>
  <si>
    <t>durchschnittliche Follow-Up Quote &lt; 70%</t>
  </si>
  <si>
    <t>durchschnittliche Follow-Up Quote &gt; 95%</t>
  </si>
  <si>
    <t>Von Seiten des Fachexperten können weitere Unplausibilitäten bzw. Inkorrektheiten identifiziert und im Rahmen des Auditergebnisses dargestellt werden.</t>
  </si>
  <si>
    <t>Fallbesprechung bei Lokalrezidiv/ Metastasen</t>
  </si>
  <si>
    <t>Die gemäß S3-Leitlinie „endokrin unsicher ansprechbaren“ Fälle (ER/ PgR; 1 - 9% positive Zellkerne) sind im Tumordokumentationssystem gesondert zu dokumentieren (keine Relevanz für Darstellung Kennzahlenbogen).</t>
  </si>
  <si>
    <t>Summe Spalten V+Z+AA+AB (Patienten mit Ereignisse) darf nicht größer als Summe Spalten O+P (Patientenrückmeldungen) sein.</t>
  </si>
  <si>
    <t>„Hellgrün“ hinterlegte Felder weisen auf Unplausibilitäten hin. Diese Werte sind zu analysieren und das Ergebnis ist auf dem Folgeblatt „Datendefizite_Matrix“ darzulegen.</t>
  </si>
  <si>
    <t>Anzahl operierte Primärfälle</t>
  </si>
  <si>
    <t>nicht zuzu-ordnen</t>
  </si>
  <si>
    <r>
      <rPr>
        <b/>
        <sz val="8"/>
        <color indexed="8"/>
        <rFont val="Arial"/>
        <family val="2"/>
      </rPr>
      <t>Eingeleitete / geplante Aktionen</t>
    </r>
    <r>
      <rPr>
        <sz val="8"/>
        <color indexed="8"/>
        <rFont val="Arial"/>
        <family val="2"/>
      </rPr>
      <t xml:space="preserve">
(bei plausibler Begründung keine Aktion erforderlich)</t>
    </r>
  </si>
  <si>
    <r>
      <t xml:space="preserve">Verstorben 
mit Ereignis in Follow-Up  </t>
    </r>
    <r>
      <rPr>
        <vertAlign val="superscript"/>
        <sz val="8"/>
        <rFont val="Arial Black"/>
        <family val="2"/>
      </rPr>
      <t xml:space="preserve">6) </t>
    </r>
  </si>
  <si>
    <r>
      <t xml:space="preserve">Lokalrezidiv  </t>
    </r>
    <r>
      <rPr>
        <vertAlign val="superscript"/>
        <sz val="8"/>
        <rFont val="Arial Black"/>
        <family val="2"/>
      </rPr>
      <t>7)</t>
    </r>
  </si>
  <si>
    <r>
      <t xml:space="preserve">Lymphknotenrezidiv  </t>
    </r>
    <r>
      <rPr>
        <vertAlign val="superscript"/>
        <sz val="8"/>
        <rFont val="Arial Black"/>
        <family val="2"/>
      </rPr>
      <t>7)</t>
    </r>
  </si>
  <si>
    <r>
      <t xml:space="preserve">Verstorben ohne Ereignis in
 Follow-Up / unbekannt  </t>
    </r>
    <r>
      <rPr>
        <vertAlign val="superscript"/>
        <sz val="8"/>
        <rFont val="Arial Black"/>
        <family val="2"/>
      </rPr>
      <t>6)</t>
    </r>
  </si>
  <si>
    <t xml:space="preserve">5) Zusätzlich können hier Fälle mit Ereignis ohne exakte Lokalisationsangabe eingetragen werden, die keiner der vier Spalten V bis Y bzw. AA bis AD genau zuzuordnen sind. </t>
  </si>
  <si>
    <t>7) Lokalrezidiv: Rezidiv in der Brust
    Lymphknotenrezidiv: Rezidiv in den regionären Lymphknoten</t>
  </si>
  <si>
    <r>
      <t xml:space="preserve">Lebend  </t>
    </r>
    <r>
      <rPr>
        <vertAlign val="superscript"/>
        <sz val="8"/>
        <rFont val="Arial Black"/>
        <family val="2"/>
      </rPr>
      <t>6)</t>
    </r>
  </si>
  <si>
    <r>
      <t xml:space="preserve">1 Ereignis in Spalte V, W, 
X und Y  </t>
    </r>
    <r>
      <rPr>
        <vertAlign val="superscript"/>
        <sz val="8"/>
        <rFont val="Arial Black"/>
        <family val="2"/>
      </rPr>
      <t>5)</t>
    </r>
  </si>
  <si>
    <r>
      <t xml:space="preserve">1 Ereignis in Spalte AA, AB, 
AC und AD  </t>
    </r>
    <r>
      <rPr>
        <vertAlign val="superscript"/>
        <sz val="8"/>
        <rFont val="Arial Black"/>
        <family val="2"/>
      </rPr>
      <t>5)</t>
    </r>
  </si>
  <si>
    <r>
      <t xml:space="preserve">Primärfälle bei Männer und Frauen 
(Def. identisch Basisdaten)  </t>
    </r>
    <r>
      <rPr>
        <vertAlign val="superscript"/>
        <sz val="8"/>
        <rFont val="Arial Black"/>
        <family val="2"/>
      </rPr>
      <t>1)</t>
    </r>
  </si>
  <si>
    <t>3) Bei einer Mastektomie mit vorangegangener BET innerhalb einer Brust wird diese als Mastektomie angegeben. Bei der Korrelation der T-Stadien mit der Operationsart (BET / Mastektomie) werden Besonderheiten der neoadjuvanten Therapie nicht berücksichtigt (Grundlage ist der prätherapeutische cT-Status, nicht (y)pT).</t>
  </si>
  <si>
    <t>Unvollständige Jahre</t>
  </si>
  <si>
    <t xml:space="preserve">≥ 80% </t>
  </si>
  <si>
    <t xml:space="preserve">≤ 5% </t>
  </si>
  <si>
    <t>Sollvorgabe 
nicht erfüllt</t>
  </si>
  <si>
    <t>Brustkrebszentrum Wittlich</t>
  </si>
  <si>
    <t>Verbundkrankenhaus Bernkastel / Wittlich</t>
  </si>
  <si>
    <t>Brustzentrum Sana Klinikum Offenbach</t>
  </si>
  <si>
    <t>Interdisziplinäres Brustkrebszentrum am Diakonie-Klinikum Stuttgart</t>
  </si>
  <si>
    <t>Brustkrebszentrum Lahn-Dill, Wetzlar</t>
  </si>
  <si>
    <t>Brustkrebszentrum Oberhavel</t>
  </si>
  <si>
    <t>Universitäts-Brustzentrum Rostock</t>
  </si>
  <si>
    <t>Brustkrebszentrum St. Elisabeth Lörrach</t>
  </si>
  <si>
    <t>Interdisziplinäres Brustkrebszentrum am Rotkreuzklinikum München</t>
  </si>
  <si>
    <t>CaritasKlinikum Saarbrücken St. Theresia</t>
  </si>
  <si>
    <t>Sana Klinikum Offenbach</t>
  </si>
  <si>
    <t>Diakonie-Klinikum Stuttgart</t>
  </si>
  <si>
    <t>Klinikum Traunstein/Kliniken Südostbayern AG</t>
  </si>
  <si>
    <t>Klinikum Wolfsburg</t>
  </si>
  <si>
    <t>ANregiomed Klinikum Ansbach</t>
  </si>
  <si>
    <t>Südharz Klinikum Nordhausen</t>
  </si>
  <si>
    <t>JOSEFINUM Augsburg</t>
  </si>
  <si>
    <t>MaDoS</t>
  </si>
  <si>
    <t>ONDIS</t>
  </si>
  <si>
    <t>ONKOSTAR</t>
  </si>
  <si>
    <t>ORBIS-ODOK</t>
  </si>
  <si>
    <t>SMATOS</t>
  </si>
  <si>
    <t>Tumordokumentation des Instituts für Krebsepidemiologie</t>
  </si>
  <si>
    <t>KR7</t>
  </si>
  <si>
    <t>Brustkrebszentrum Straubing</t>
  </si>
  <si>
    <t>Klinikum St. Elisabeth Straubing</t>
  </si>
  <si>
    <t>Interdisziplinäres Brustkrebszentrum Kliniken Essen-Mitte</t>
  </si>
  <si>
    <t>Brustzentrum Gelnhausen</t>
  </si>
  <si>
    <t>Primärfälle mit invasivem Mammakarzinom mit steroidrez. positivem Befund
(ohne primär M1 Pat.)</t>
  </si>
  <si>
    <t>≥ 5%</t>
  </si>
  <si>
    <t>Primärfälle mit Ersteingriff und Histologie invasives Mammakarzinom oder DCIS</t>
  </si>
  <si>
    <r>
      <rPr>
        <b/>
        <sz val="8"/>
        <color indexed="8"/>
        <rFont val="Arial"/>
        <family val="2"/>
      </rPr>
      <t>Begründung / Ursache</t>
    </r>
    <r>
      <rPr>
        <sz val="8"/>
        <color indexed="8"/>
        <rFont val="Arial"/>
        <family val="2"/>
      </rPr>
      <t xml:space="preserve">
(min. 30 Zeichen / max. 500 Zeichen)</t>
    </r>
  </si>
  <si>
    <t>Ansprechpartner</t>
  </si>
  <si>
    <t xml:space="preserve">2013, </t>
  </si>
  <si>
    <t>Krebsregister Schweiz</t>
  </si>
  <si>
    <t>Krebsregister Österreich</t>
  </si>
  <si>
    <t>Primärfälle mit DCIS und BET</t>
  </si>
  <si>
    <t xml:space="preserve">1; </t>
  </si>
  <si>
    <t>1. Tabellenblatt Basisdaten muss vollständig ausgefüllt sein.</t>
  </si>
  <si>
    <t xml:space="preserve">Nenner: </t>
  </si>
  <si>
    <t>3. Nenner kann nicht größer sein als Operative Primärfälle T1-T4, N+ mit Mastektomie.</t>
  </si>
  <si>
    <t xml:space="preserve">6.1; </t>
  </si>
  <si>
    <t>3. Nenner kann nicht größer sein als Anzahl Primärfälle T1-T4, N+.</t>
  </si>
  <si>
    <t xml:space="preserve">7.1; 8.1; 9.1; 10.1; </t>
  </si>
  <si>
    <t xml:space="preserve">3; 4.2; 5.2; 6.2; 7.2; 8.2; 9.2; 10.2; </t>
  </si>
  <si>
    <t>1. Tabellenblatt Basisdaten muss vollständig ausgefüllt sein!</t>
  </si>
  <si>
    <t xml:space="preserve">14; </t>
  </si>
  <si>
    <t xml:space="preserve">15; </t>
  </si>
  <si>
    <t>5.1; 6.1; 7.1; 8.1; 9.1; 10.1; 15; 17;</t>
  </si>
  <si>
    <t>3. Nenner kann nicht größer sein als Anzahl Primärfälle T1-T4.</t>
  </si>
  <si>
    <t>11; 22; 24</t>
  </si>
  <si>
    <t>11; 17; 22; 24</t>
  </si>
  <si>
    <t xml:space="preserve">2; 4.1; 12; 13; 19; 20; 23; 25; </t>
  </si>
  <si>
    <t>21; 26</t>
  </si>
  <si>
    <t>Zeitraum zwischen 01.09.2014 - 01.01.2016 angeben.</t>
  </si>
  <si>
    <t>Anzahl neoadjuvant vorbehandelte Primärfälle kann nicht größer sein als Anzahl Operierte Primärfälle.</t>
  </si>
  <si>
    <t>Brustkrebszentrum Albertinen-Krankenhaus Hamburg</t>
  </si>
  <si>
    <t>Albertinen-Krankenhaus Hamburg-Schnelsen</t>
  </si>
  <si>
    <t>Brustkrebszentrum am Kantonsspital Aarau</t>
  </si>
  <si>
    <t>Kantonsspital Aarau</t>
  </si>
  <si>
    <t>Derzeit keine Vorgaben</t>
  </si>
  <si>
    <t>Krebsregister Italien</t>
  </si>
  <si>
    <t xml:space="preserve">Primärfälle bei Männer und
Frauen gesamt  (= SUMME D-K)  </t>
  </si>
  <si>
    <r>
      <t xml:space="preserve">Grundgesamtheit Follow-Up
(=C-M) 
</t>
    </r>
    <r>
      <rPr>
        <strike/>
        <sz val="8"/>
        <color indexed="53"/>
        <rFont val="Arial"/>
        <family val="2"/>
      </rPr>
      <t/>
    </r>
  </si>
  <si>
    <r>
      <t xml:space="preserve">Follow-Up-Daten vom Klinischen
Krebsregister  </t>
    </r>
    <r>
      <rPr>
        <vertAlign val="superscript"/>
        <sz val="8"/>
        <rFont val="Arial Black"/>
        <family val="2"/>
      </rPr>
      <t>2) 3) 4)</t>
    </r>
  </si>
  <si>
    <r>
      <t>Follow-Up-Daten vom Zentrum
(bzw. Quelle nicht bekannt)</t>
    </r>
    <r>
      <rPr>
        <vertAlign val="superscript"/>
        <sz val="8"/>
        <rFont val="Arial"/>
        <family val="2"/>
      </rPr>
      <t xml:space="preserve">  </t>
    </r>
    <r>
      <rPr>
        <vertAlign val="superscript"/>
        <sz val="8"/>
        <rFont val="Arial Black"/>
        <family val="2"/>
      </rPr>
      <t>2) 3) 4)</t>
    </r>
  </si>
  <si>
    <t>XML-OncoBox Brust</t>
  </si>
  <si>
    <t>Brustkrebszentrum am Marien Hospital Düsseldorf</t>
  </si>
  <si>
    <t>Marien Hospital Düsseldorf</t>
  </si>
  <si>
    <t>Gesamt überall</t>
  </si>
  <si>
    <t>UCC-TDS (Tumorzentrum Dresden)</t>
  </si>
  <si>
    <t>&lt; 70%</t>
  </si>
  <si>
    <t>Brustzentrum Regio im Comprehensive Cancer Center (CCC) Marburg</t>
  </si>
  <si>
    <t>Universitätsklinikum Freiburg</t>
  </si>
  <si>
    <t>Brustkrebszentrum Bremen-Mitte</t>
  </si>
  <si>
    <t>Kreisklinik Ebersberg</t>
  </si>
  <si>
    <t>Klinikum Landshut</t>
  </si>
  <si>
    <t>SRH Zentralklinikum Suhl</t>
  </si>
  <si>
    <t>Brustzentrum Südbaden</t>
  </si>
  <si>
    <t>Städtisches Klinikum Görlitz</t>
  </si>
  <si>
    <t>Klinikum Fürth</t>
  </si>
  <si>
    <t>Klinikum Esslingen</t>
  </si>
  <si>
    <t>Klinikum Kassel</t>
  </si>
  <si>
    <t>DONAUISAR Klinikum Deggendorf</t>
  </si>
  <si>
    <t>Schwarzwald-Baar Klinikum Villingen-Schwenningen</t>
  </si>
  <si>
    <t>Franziskus Hospital Bielefeld</t>
  </si>
  <si>
    <t>Klinikum Mutterhaus der Borromäerinnen</t>
  </si>
  <si>
    <t>Diakonie-Klinikum Schwäbisch Hall</t>
  </si>
  <si>
    <t>Klinikum Oberlausitzer Bergland</t>
  </si>
  <si>
    <t>SRH Wald-Klinikum Gera</t>
  </si>
  <si>
    <t>Klinikum Ingolstadt</t>
  </si>
  <si>
    <t>SRH Krankenhaus Sigmaringen</t>
  </si>
  <si>
    <t>Brustkrebszentrum Saarlouis am DRK Krankenhaus</t>
  </si>
  <si>
    <t>Brustzentrum HELIOS Klinikum Pforzheim</t>
  </si>
  <si>
    <t>HELIOS Klinikum Pforzheim</t>
  </si>
  <si>
    <t>Leopoldina-Krankenhaus der Stadt Schweinfurt</t>
  </si>
  <si>
    <t>Klinikum St. Georg</t>
  </si>
  <si>
    <t>Vinzenzkrankenhaus Hannover</t>
  </si>
  <si>
    <t>Rems-Murr-Klinikum Winnenden</t>
  </si>
  <si>
    <t>Klinikum Stuttgart, Olgahospital, Frauenklinik</t>
  </si>
  <si>
    <t>Sana Klinikum Borna</t>
  </si>
  <si>
    <t>Elisabeth-Krankenhaus</t>
  </si>
  <si>
    <t>Klinikum Worms</t>
  </si>
  <si>
    <t>Klinikum Magdeburg</t>
  </si>
  <si>
    <t>Brustzentrum Klinikum Hanau</t>
  </si>
  <si>
    <t>Klinikum Hanau</t>
  </si>
  <si>
    <t>Brustzentrum Coburg</t>
  </si>
  <si>
    <t>Brustzentrum Marienhospital Bottrop</t>
  </si>
  <si>
    <t>Kath. Marienkrankenhaus Hamburg</t>
  </si>
  <si>
    <t>Vivantes Brustzentrum</t>
  </si>
  <si>
    <t>Vivantes Klinikum Am Urban</t>
  </si>
  <si>
    <t>Bonifatius Hospital</t>
  </si>
  <si>
    <t>Euregio-Klinik Albert-Schweitzer-Straße</t>
  </si>
  <si>
    <t>Brustzentrum Kemperhof Koblenz &amp; St. Elisabeth Mayen</t>
  </si>
  <si>
    <t>Gemeinschaftsklinikum Mittelrhein, St. Elisabeth Mayen</t>
  </si>
  <si>
    <t>Brustzentrum Bad Nauheim</t>
  </si>
  <si>
    <t>Brustzentrum am AGAPLESION DIAKONIEKLINIKUM ROTENBURG</t>
  </si>
  <si>
    <t>AGAPLESION DIAKONIEKLINIKUM ROTENBURG</t>
  </si>
  <si>
    <t>Park-Klinik</t>
  </si>
  <si>
    <t>Brustzentrum DIAKO Flensburg</t>
  </si>
  <si>
    <t>Westpfalz-Klinikum</t>
  </si>
  <si>
    <t>Marien Hospital Witten</t>
  </si>
  <si>
    <t>Pleißental-Klinik Werdau</t>
  </si>
  <si>
    <t>Oberhavel Kliniken, Klinik Oranienburg</t>
  </si>
  <si>
    <t>St. Elisabethen-Krankenhaus</t>
  </si>
  <si>
    <t>Main-Kinzig-Kliniken Gelnhausen</t>
  </si>
  <si>
    <t>Universitätsspital Basel</t>
  </si>
  <si>
    <t>Brustkrebszentrum Stadtspital Triemli</t>
  </si>
  <si>
    <t>Deutschland</t>
  </si>
  <si>
    <t xml:space="preserve">2014, </t>
  </si>
  <si>
    <t>Möglichst häufig R0-Resektion im 1.operativen Eingriff bei BET</t>
  </si>
  <si>
    <t>Operierte Primärfälle mit BET und R0</t>
  </si>
  <si>
    <t>&lt; 80%</t>
  </si>
  <si>
    <t>≥ 40%</t>
  </si>
  <si>
    <t>U ≤ Max(V bis Y)</t>
  </si>
  <si>
    <t>Z ≤ Max(AA bis AD)</t>
  </si>
  <si>
    <t>Ausnahme</t>
  </si>
  <si>
    <t>Krankenhaus Freudenstadt</t>
  </si>
  <si>
    <t>KRH Klinikum Siloah</t>
  </si>
  <si>
    <t>Universitäres Brustkrebszentrum Mainz</t>
  </si>
  <si>
    <t>Interdisziplinäres Brustzentrum der ALB FILS KLINIKEN</t>
  </si>
  <si>
    <t>Rottal-Inn Kliniken Standort Eggenfelden</t>
  </si>
  <si>
    <t>Brustkrebszentrum im DIAKO Bremen</t>
  </si>
  <si>
    <t>DIAKO Ev. Diakonie-Krankenhaus</t>
  </si>
  <si>
    <t>Ostalb-Klinikum Aalen</t>
  </si>
  <si>
    <t>Klinikverbund Kempten-Oberallgäu Klinikum Kempten</t>
  </si>
  <si>
    <t>Kliniken Nordoberpfalz, Standort Klinikum Weiden</t>
  </si>
  <si>
    <t>Brustkrebszentrum am St. Bernward Krankenhaus Hildesheim</t>
  </si>
  <si>
    <t>Städtisches Klinikum Braunschweig</t>
  </si>
  <si>
    <t>Klinikum der Stadt Ludwigshafen am Rhein gGmbH</t>
  </si>
  <si>
    <t>Brustkrebszentrum Missio Würzburg</t>
  </si>
  <si>
    <t>Brustzentrum Krankenhaus St. Marienstift Magdeburg</t>
  </si>
  <si>
    <t>Krankenhaus St. Marienstift Magdeburg</t>
  </si>
  <si>
    <t>Brustzentrum AGAPLESION DIAKONIEKLINIKUM HAMBURG</t>
  </si>
  <si>
    <t>AGAPLESION DIAKONIEKLINIKUM HAMBURG</t>
  </si>
  <si>
    <t xml:space="preserve">Gemeinschaftsklinikum Mittelrhein, Kemperhof </t>
  </si>
  <si>
    <t>Kepler Universitätsklinikum</t>
  </si>
  <si>
    <t>Universitäres Brustkrebszentrum Inselspital Bern</t>
  </si>
  <si>
    <t>Brustkrebszentrum am Westdeutschen Tumorzentrum - Universitätsmedizin Essen</t>
  </si>
  <si>
    <t>Kantonsspital Winterthur</t>
  </si>
  <si>
    <t>Anzahl operative Eingriffe für R0-Resektion bei BET</t>
  </si>
  <si>
    <t xml:space="preserve">
Derzeit keine Vorgaben</t>
  </si>
  <si>
    <t>4</t>
  </si>
  <si>
    <t xml:space="preserve">Strahlentherapie nach BET bei inv. Mammakarzinom
</t>
  </si>
  <si>
    <t>5</t>
  </si>
  <si>
    <t xml:space="preserve">Strahlentherapie nach BET bei DCIS
</t>
  </si>
  <si>
    <r>
      <t>Adäquate Rate an Bestrahlungen von</t>
    </r>
    <r>
      <rPr>
        <sz val="8"/>
        <color indexed="8"/>
        <rFont val="Arial"/>
        <family val="2"/>
      </rPr>
      <t xml:space="preserve"> Primärfällen mit DCIS und BET</t>
    </r>
  </si>
  <si>
    <t xml:space="preserve">Trastuzumabtherapie über 1 Jahr bei HER-2 pos. Befund </t>
  </si>
  <si>
    <t>6</t>
  </si>
  <si>
    <t>7</t>
  </si>
  <si>
    <t>8</t>
  </si>
  <si>
    <t>9</t>
  </si>
  <si>
    <t>10</t>
  </si>
  <si>
    <t xml:space="preserve">Adäquate Rate an Bestrahlungen  von Primärfällen mit inv. Mammakarzinom und BET </t>
  </si>
  <si>
    <t>Primärfälle mit invasivem Mammakarzinom und BET
(ohne primär M1 Pat.)</t>
  </si>
  <si>
    <r>
      <t>Endokrine Therapie bei steroidrez. positivem Befund</t>
    </r>
    <r>
      <rPr>
        <vertAlign val="superscript"/>
        <sz val="8"/>
        <color theme="1"/>
        <rFont val="Arial"/>
        <family val="2"/>
      </rPr>
      <t>1</t>
    </r>
  </si>
  <si>
    <t xml:space="preserve">2015, </t>
  </si>
  <si>
    <t>Brustzentrum Halle des Universitätsklinikums Halle (Saale)</t>
  </si>
  <si>
    <t>Universitäts-Klinikum Halle (Saale)</t>
  </si>
  <si>
    <t>Klinik für Geburtshilfe und Frauengesundheit der Universitätsmedizin Mainz</t>
  </si>
  <si>
    <t>Landkreis Mittweida Krankenhaus</t>
  </si>
  <si>
    <t>medius KLINIK NÜRTINGEN</t>
  </si>
  <si>
    <t>medius KLINIK OSTFILDERN-RUIT</t>
  </si>
  <si>
    <t>Diakonissenkrankenhaus Dresden</t>
  </si>
  <si>
    <t>ELBLANDKLINIKUM Radebeul</t>
  </si>
  <si>
    <t>Brustkrebszentrum Memmingen - Allgäu</t>
  </si>
  <si>
    <t>Brustkrebszentrum am Universitätsklinikum Leipzig</t>
  </si>
  <si>
    <t>Universitätsklinikum Leipzig</t>
  </si>
  <si>
    <t>Städtisches Klinikum Dresden, Standort Friedrichstadt</t>
  </si>
  <si>
    <t>Interdisziplinäres Brustzentrum Kantonsspital Baden</t>
  </si>
  <si>
    <t>Brustkrebszentrum Potsdam</t>
  </si>
  <si>
    <t xml:space="preserve">Klinikum Ernst von Bergmann </t>
  </si>
  <si>
    <t>Brustzentrum am Cancer Center UniversitätsSpital Zürich</t>
  </si>
  <si>
    <t>Brust Tumorzentrum Winterthur</t>
  </si>
  <si>
    <t>Brustkrebszentrum am Robert-Koch-Krankenhaus Apolda</t>
  </si>
  <si>
    <t>Robert-Koch-Krankenhaus Apolda</t>
  </si>
  <si>
    <t>Klinik Hirslanden Zürich</t>
  </si>
  <si>
    <t>Kantonsspital Graubünden</t>
  </si>
  <si>
    <r>
      <rPr>
        <b/>
        <sz val="11"/>
        <color theme="1"/>
        <rFont val="Arial"/>
        <family val="2"/>
      </rPr>
      <t xml:space="preserve"> Primärfälle Mammakarzinom</t>
    </r>
    <r>
      <rPr>
        <sz val="8"/>
        <color theme="1"/>
        <rFont val="Calibri"/>
        <family val="2"/>
        <scheme val="minor"/>
      </rPr>
      <t/>
    </r>
  </si>
  <si>
    <r>
      <t>Erkrankung</t>
    </r>
    <r>
      <rPr>
        <vertAlign val="superscript"/>
        <sz val="11"/>
        <color theme="1"/>
        <rFont val="Arial"/>
        <family val="2"/>
      </rPr>
      <t xml:space="preserve"> </t>
    </r>
  </si>
  <si>
    <t>KN</t>
  </si>
  <si>
    <t>MADOS 4</t>
  </si>
  <si>
    <t>1) Angabe des Tumorstatus, der je nach Therapie pathologisch (pT, pN, pM) oder klinisch (cT, cN, cM) sein kann. 
Beispiele:
       a) operierter, nicht neoadjuvanter vorbehandelter Fall: Angabe pathologischer Tumorstatus (pT)
       b) neoadjuvant vorbehandelter und operierter Fall oder ein nicht operierter Fall oder ein Fall mit pT0 nach Biopsie und Nachresektion: 
       klinischer Tumorstatus (cT)</t>
  </si>
  <si>
    <t>N+ (jedes T inkl. Tis/Tx, M0)</t>
  </si>
  <si>
    <r>
      <t>Primärfälle</t>
    </r>
    <r>
      <rPr>
        <vertAlign val="superscript"/>
        <sz val="11"/>
        <color theme="1"/>
        <rFont val="Arial"/>
        <family val="2"/>
      </rPr>
      <t xml:space="preserve"> </t>
    </r>
    <r>
      <rPr>
        <b/>
        <vertAlign val="superscript"/>
        <sz val="9"/>
        <color theme="1"/>
        <rFont val="Arial"/>
        <family val="2"/>
      </rPr>
      <t>4)</t>
    </r>
  </si>
  <si>
    <r>
      <t xml:space="preserve">   Mit BET </t>
    </r>
    <r>
      <rPr>
        <b/>
        <vertAlign val="superscript"/>
        <sz val="9"/>
        <color theme="1"/>
        <rFont val="Arial"/>
        <family val="2"/>
      </rPr>
      <t>3)</t>
    </r>
  </si>
  <si>
    <r>
      <t xml:space="preserve">   Mit Mastektomien</t>
    </r>
    <r>
      <rPr>
        <sz val="9"/>
        <color theme="1"/>
        <rFont val="Arial"/>
        <family val="2"/>
      </rPr>
      <t xml:space="preserve"> </t>
    </r>
    <r>
      <rPr>
        <b/>
        <vertAlign val="superscript"/>
        <sz val="9"/>
        <color theme="1"/>
        <rFont val="Arial"/>
        <family val="2"/>
      </rPr>
      <t>3)</t>
    </r>
  </si>
  <si>
    <r>
      <t xml:space="preserve">Primärfälle bei Männer und Frauen </t>
    </r>
    <r>
      <rPr>
        <b/>
        <vertAlign val="superscript"/>
        <sz val="9"/>
        <color theme="1"/>
        <rFont val="Arial"/>
        <family val="2"/>
      </rPr>
      <t>1)</t>
    </r>
  </si>
  <si>
    <r>
      <t xml:space="preserve">Gesamt </t>
    </r>
    <r>
      <rPr>
        <b/>
        <vertAlign val="superscript"/>
        <sz val="9"/>
        <color theme="1"/>
        <rFont val="Arial"/>
        <family val="2"/>
      </rPr>
      <t>7)</t>
    </r>
  </si>
  <si>
    <r>
      <t xml:space="preserve">Primärfälle gesamt </t>
    </r>
    <r>
      <rPr>
        <b/>
        <vertAlign val="superscript"/>
        <sz val="9"/>
        <color theme="1"/>
        <rFont val="Arial"/>
        <family val="2"/>
      </rPr>
      <t>7)</t>
    </r>
  </si>
  <si>
    <r>
      <t>beidseitig (synchron)</t>
    </r>
    <r>
      <rPr>
        <b/>
        <sz val="8"/>
        <rFont val="Arial"/>
        <family val="2"/>
      </rPr>
      <t xml:space="preserve"> </t>
    </r>
    <r>
      <rPr>
        <b/>
        <vertAlign val="superscript"/>
        <sz val="9"/>
        <color theme="1"/>
        <rFont val="Arial"/>
        <family val="2"/>
      </rPr>
      <t>6)</t>
    </r>
  </si>
  <si>
    <r>
      <t>einseitig</t>
    </r>
    <r>
      <rPr>
        <sz val="11"/>
        <color theme="1"/>
        <rFont val="Arial"/>
        <family val="2"/>
      </rPr>
      <t> </t>
    </r>
    <r>
      <rPr>
        <b/>
        <vertAlign val="superscript"/>
        <sz val="9"/>
        <color theme="1"/>
        <rFont val="Arial"/>
        <family val="2"/>
      </rPr>
      <t>5)</t>
    </r>
  </si>
  <si>
    <t>20a</t>
  </si>
  <si>
    <t>Möglichst häufig alleinige Sentinel-Lymphknoten-Entfernung (SNB)  bei pN0</t>
  </si>
  <si>
    <t>Alleinige Sentinel-Lymphknoten-Entfernung (SNB) bei pN0 (Frauen)</t>
  </si>
  <si>
    <t>20b</t>
  </si>
  <si>
    <t>Möglichst selten Therapie der axillären Lymphabflussgebiete bei Mikrometastasierung</t>
  </si>
  <si>
    <t>Ausnahme (Plausibilität unklar)</t>
  </si>
  <si>
    <t>Summe Plausibilität unklar</t>
  </si>
  <si>
    <t xml:space="preserve">2016, </t>
  </si>
  <si>
    <t>Gesundheit Nord gGmbH, Standort Klinikum Bremen-Mitte</t>
  </si>
  <si>
    <t>Interdisziplinäres Brustkrebszentrum der Charité (IBZ) im Charité Comprehensive Cancer Center</t>
  </si>
  <si>
    <t>Helios Klinikum Meiningen</t>
  </si>
  <si>
    <t>KRANKENHAUS ST. JOSEPH-STIFT DRESDEN</t>
  </si>
  <si>
    <t xml:space="preserve">Interdisziplinäres Brustzentrum Kempten/Allgäu </t>
  </si>
  <si>
    <t>Universitäres Brustkrebszentrum Regensburg</t>
  </si>
  <si>
    <t>Klinik für Frauenheilkunde und Geburtshilfe Lehrstuhl der Universität Regensburg am Caritas-Krankenhaus St. Josef</t>
  </si>
  <si>
    <t>Frauenklinik im Helios Amper-Klinikum Dachau</t>
  </si>
  <si>
    <t>Ordensklinikum Linz Barmherzige Schwestern</t>
  </si>
  <si>
    <t>Helios Klinikum Berlin-Buch</t>
  </si>
  <si>
    <t>Klinikum Aschaffenburg - Alzenau gemeinnützige GmbH Standort AB</t>
  </si>
  <si>
    <t>AGAPLESION EV. KLINIKUM SCHAUMBURG</t>
  </si>
  <si>
    <t>Brustzentrum Helios Kliniken Schwerin</t>
  </si>
  <si>
    <t>Helios Kliniken Schwerin</t>
  </si>
  <si>
    <t>Brustkrebszentrum DRK Krankenhaus Chemnitz-Rabenstein</t>
  </si>
  <si>
    <t>Brustkrebszentrum der Universitätsmedizin Göttingen</t>
  </si>
  <si>
    <t>Brustkrebszentrum Klinik Hirslanden Zürich</t>
  </si>
  <si>
    <t>Interdisziplinäres Brustkrebszentrum Helios Klinikum München West</t>
  </si>
  <si>
    <t>Helios Klinikum München West</t>
  </si>
  <si>
    <t>Interdisziplinäres Brustkrebszentrum Rheinfelden</t>
  </si>
  <si>
    <t>Spital Rheinfelden</t>
  </si>
  <si>
    <t>Brustkrebszentrum Rüsselsheim</t>
  </si>
  <si>
    <t>GPR Klinikum Rüsselsheim</t>
  </si>
  <si>
    <t>Adjumed</t>
  </si>
  <si>
    <t>ODSeasy / ODSeasyNet</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</si>
  <si>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</si>
  <si>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Alleinige Sentinel-Lymphknoten-Entfernung (SNB) bei pN0 (Männer)</t>
  </si>
  <si>
    <t>Prüfung der Nenner</t>
  </si>
  <si>
    <t>Basisdaten</t>
  </si>
  <si>
    <r>
      <t xml:space="preserve">   Mit BET </t>
    </r>
    <r>
      <rPr>
        <vertAlign val="superscript"/>
        <sz val="11"/>
        <color theme="1"/>
        <rFont val="Calibri"/>
        <family val="2"/>
        <scheme val="minor"/>
      </rPr>
      <t>3)</t>
    </r>
  </si>
  <si>
    <r>
      <t xml:space="preserve">   Mastektomien </t>
    </r>
    <r>
      <rPr>
        <vertAlign val="superscript"/>
        <sz val="11"/>
        <color theme="1"/>
        <rFont val="Calibri"/>
        <family val="2"/>
        <scheme val="minor"/>
      </rPr>
      <t>3)</t>
    </r>
  </si>
  <si>
    <t>BET</t>
  </si>
  <si>
    <t>Primärfälle des Nenners, die in der prätherapeutischen Tumorkonferenz vorgestellt wurden</t>
  </si>
  <si>
    <t>Primärfälle des Nenners, bei denen eine Radiatio begonnen wurde</t>
  </si>
  <si>
    <t>Trastuzumabtherapie über 1 Jahr bei möglichst vielen HER-2 pos. Primärfällen ≥ pT1c</t>
  </si>
  <si>
    <t>Primärfälle des Nenners mit prätherapeutischer histologischer Diagnosesicherung durch Stanz- oder Vakuumbiopsie</t>
  </si>
  <si>
    <t>Primärfälle des Nenners mit BET (endgültiger Operationszustand)</t>
  </si>
  <si>
    <t xml:space="preserve">Primärfälle des Nenners mit Mastektomien (endgültiger Operationszustand)  </t>
  </si>
  <si>
    <t>Primärfälle des Nenners mit axillärer Lymphknotenentnahme 
(primäre Axilladissektion oder Sentinel-Lymphknoten-Entfernung (SNB))</t>
  </si>
  <si>
    <t>5.2.10</t>
  </si>
  <si>
    <t>Primärfälle des Nenners, bei denen der Nodalstatus bestimmt wurde</t>
  </si>
  <si>
    <t>Operierte Primärfälle mit invasivem Mammakarzinom (ohne primär M1)</t>
  </si>
  <si>
    <t xml:space="preserve">Primärfälle des Nenners mit alleiniger
Sentinel-Lymphknoten-Entfernung (SNB) </t>
  </si>
  <si>
    <t xml:space="preserve">Primärfälle des Nenners mit alleiniger 
Sentinel-Lymphknoten-Entfernung (SNB) </t>
  </si>
  <si>
    <t>Operationen des Nenners mit intraoperativem Präparatröntgen oder mit intraoperativer Präparatsonographie</t>
  </si>
  <si>
    <t>Primärfälle des Nenners mit Revisionsoperationen infolge von postoperativen Komplikationen 
(nur operierte Primärfälle)</t>
  </si>
  <si>
    <t>Primärfälle des Nenners mit Therapie (Axilladissektion oder Radiatio) der axillären Lymphabflussgebiete</t>
  </si>
  <si>
    <t>Therapie der axillären Lymphabflussgebiete bei pN1mi</t>
  </si>
  <si>
    <t>Anmerkung:</t>
  </si>
  <si>
    <t>Brustzentrum an den DRK Kliniken Berlin Köpenick</t>
  </si>
  <si>
    <t>DRK Kliniken Berlin Köpenick</t>
  </si>
  <si>
    <t>Ortenau Klinikum Offenburg-Kehl</t>
  </si>
  <si>
    <t>Brustzentrum im Helios Klinikum Bad Saarow</t>
  </si>
  <si>
    <t>Helios Klinikum Bad Saarow</t>
  </si>
  <si>
    <t>Helios Dr. Horst Schmidt Kliniken Wiesbaden</t>
  </si>
  <si>
    <t>Helios Brustzentrum Gifhorn</t>
  </si>
  <si>
    <t>Helios Klinikum Gifhorn</t>
  </si>
  <si>
    <t xml:space="preserve">Brustzentrum - City </t>
  </si>
  <si>
    <t>Sankt Gertrauden-Krankenhaus</t>
  </si>
  <si>
    <t xml:space="preserve">Klinikum am Steinenberg, Kreiskliniken Reutlingen </t>
  </si>
  <si>
    <t>Klinikum Mittelbaden Baden-Baden Balg</t>
  </si>
  <si>
    <t>Universitätsklinikum Augsburg - Medizincampus</t>
  </si>
  <si>
    <t>Helios Klinikum Hildesheim</t>
  </si>
  <si>
    <t>Brustkrebszentrum Rems-Murr-Klinikum Winnenden</t>
  </si>
  <si>
    <t>Brustkrebszentrum im CIO Bonn</t>
  </si>
  <si>
    <t>Centrum für Integrierte Onkologie Aachen Bonn Köln Düsseldorf im Universitätsklinikum Bonn</t>
  </si>
  <si>
    <t>Klinikum Würzburg Mitte, Standort Missioklinik</t>
  </si>
  <si>
    <t>Brustzentrum Helios Mariahilf - Hamburg</t>
  </si>
  <si>
    <t>Brustkrebszentrum im CIO Köln</t>
  </si>
  <si>
    <t>Centrum für Integrierte Onkologie Aachen Bonn Köln Düsseldorf im Universitätsklinikum Köln</t>
  </si>
  <si>
    <t>Brustkrebszentrum Klinikum Passau</t>
  </si>
  <si>
    <t>Klinikum Passau</t>
  </si>
  <si>
    <t xml:space="preserve">Brustkrebszentrum Thun - Berner Oberland </t>
  </si>
  <si>
    <t>Spital STS AG Thun</t>
  </si>
  <si>
    <t>Brustkrebszentrum am Klinikum Klagenfurt</t>
  </si>
  <si>
    <t>Klinikum Klagenfurt am Wörthersee</t>
  </si>
  <si>
    <t>Brustkrebszentrum Köln Holweide</t>
  </si>
  <si>
    <t>Kliniken Köln, Standort Holweide</t>
  </si>
  <si>
    <t>Brustkrebszentrum am Evangelischen Krankenhaus Wesel</t>
  </si>
  <si>
    <t>Evangelisches Krankenhaus Wesel</t>
  </si>
  <si>
    <t>Mathilden-Hospital-Herford</t>
  </si>
  <si>
    <t>Brustzentrum Ruhrgebiet</t>
  </si>
  <si>
    <t>Brustzentrum Köln I</t>
  </si>
  <si>
    <t>St. Elisabeth-Krankenhaus Köln-Hohenlind</t>
  </si>
  <si>
    <t>Klinikum Gütersloh</t>
  </si>
  <si>
    <t>Brustzentrum Lippe</t>
  </si>
  <si>
    <t>Brustzentrum Troisdorf/ Rhein-Sieg</t>
  </si>
  <si>
    <t>GFO Kliniken Troisdorf</t>
  </si>
  <si>
    <t>Bergisches Brustzentrum</t>
  </si>
  <si>
    <t>Sana Klinikum Remscheid</t>
  </si>
  <si>
    <t>Brustzentrum Klinikum Bielefeld</t>
  </si>
  <si>
    <t>Klinikum Bielefeld</t>
  </si>
  <si>
    <t>Universitätsklinikum Münster</t>
  </si>
  <si>
    <t>Brustzentrum Westmünsterland</t>
  </si>
  <si>
    <t>St. Agnes-Hospital Bocholt</t>
  </si>
  <si>
    <t>St. Marien-Krankenhaus Ahaus</t>
  </si>
  <si>
    <t>HELIOS Brustzentrum Krefeld</t>
  </si>
  <si>
    <t>HELIOS Klinikum Krefeld</t>
  </si>
  <si>
    <t>Brustzentrum St. Johannes Hospital Dortmund</t>
  </si>
  <si>
    <t>Centrum für Integrierte Onkologie Aachen Bonn Köln Düsseldorf in der Uniklinik RWTH Aachen</t>
  </si>
  <si>
    <t>EB/ LL</t>
  </si>
  <si>
    <t>LL QI</t>
  </si>
  <si>
    <t>14a</t>
  </si>
  <si>
    <t>14b</t>
  </si>
  <si>
    <r>
      <t xml:space="preserve">Fernmetastasen </t>
    </r>
    <r>
      <rPr>
        <sz val="8"/>
        <rFont val="Arial Black"/>
        <family val="2"/>
      </rPr>
      <t xml:space="preserve"> </t>
    </r>
    <r>
      <rPr>
        <vertAlign val="superscript"/>
        <sz val="8"/>
        <rFont val="Arial Black"/>
        <family val="2"/>
      </rPr>
      <t>8) 9)</t>
    </r>
  </si>
  <si>
    <r>
      <t xml:space="preserve">Diagnose Zweitmalignom im Verlauf  </t>
    </r>
    <r>
      <rPr>
        <vertAlign val="superscript"/>
        <sz val="8"/>
        <rFont val="Arial Black"/>
        <family val="2"/>
      </rPr>
      <t>8) 9)</t>
    </r>
  </si>
  <si>
    <r>
      <t>Diagnose Zweitmalignom im Verlauf</t>
    </r>
    <r>
      <rPr>
        <b/>
        <vertAlign val="superscript"/>
        <sz val="8"/>
        <rFont val="Arial"/>
        <family val="2"/>
      </rPr>
      <t xml:space="preserve">  </t>
    </r>
    <r>
      <rPr>
        <vertAlign val="superscript"/>
        <sz val="8"/>
        <rFont val="Arial Black"/>
        <family val="2"/>
      </rPr>
      <t>8) 9)</t>
    </r>
  </si>
  <si>
    <t>10) Ausgelöst durch die Follow-Up-Strukturen der Krebsregister (Latenzzeit Vollzähligkeit der Registrierung von Zielereignissen) ist es für die letzten beiden Kalenderjahre ausreichend, die aufgeschlüsselten Primärfälle (Spalte D-G) anzugeben.</t>
  </si>
  <si>
    <t>Für Brustkrebszentren ist die Matrix EQ optional zu bearbeiten (bei funktionierendem Krebsregister und bei „Reduktion des Auditzyklus“ verbindlich).</t>
  </si>
  <si>
    <t>Primärfälle des Nenners mit nur einem operativen Eingriff bis zum endgültigen Operationszustand BET</t>
  </si>
  <si>
    <t>Klinikum Chemnitz, Standort Flemmingstraße</t>
  </si>
  <si>
    <t>Asklepios Klinik Weißenfels</t>
  </si>
  <si>
    <t>Oberschwabenklinik, Westallgäu-Klinikum, Wangen</t>
  </si>
  <si>
    <t>Helios Brustzentrum Stralsund</t>
  </si>
  <si>
    <t>Helios Hanseklinikum Stralsund</t>
  </si>
  <si>
    <t>Helios Brustzentrum Erfurt</t>
  </si>
  <si>
    <t>Helios Klinikum Erfurt</t>
  </si>
  <si>
    <t>Ammerland-Klinik Westerstede</t>
  </si>
  <si>
    <t>Brustkrebszentrum Pinneberg</t>
  </si>
  <si>
    <t>Brust-Gesundheitszentrum Ordensklinikum Linz</t>
  </si>
  <si>
    <t>DRK Kliniken Berlin Westend</t>
  </si>
  <si>
    <t>Luzerner Kantonsspital, Frauenklinik</t>
  </si>
  <si>
    <t xml:space="preserve">Brandenburgisches Brustkrebszentrum </t>
  </si>
  <si>
    <t>Brustzentrum am Klinikum Fulda</t>
  </si>
  <si>
    <t>Brustzentrum am Englischen Garten</t>
  </si>
  <si>
    <t xml:space="preserve">Frauenklinik Dr. Geisenhofer </t>
  </si>
  <si>
    <t>Brustkrebszentrum an der München Klinik Harlaching</t>
  </si>
  <si>
    <t>München Klinik Harlaching</t>
  </si>
  <si>
    <t>Katholisches Klinikum Koblenz-Montabaur, Standort Marienhof</t>
  </si>
  <si>
    <t>Kooperatives Brustzentrum Bielefeld-Herford</t>
  </si>
  <si>
    <t>Kooperatives Brustzentrum Gütersloh</t>
  </si>
  <si>
    <t>Städtisches Klinikum Solingen</t>
  </si>
  <si>
    <t>UKM Brustzentrum</t>
  </si>
  <si>
    <t>St. Johannes Hospital Dortmund</t>
  </si>
  <si>
    <t>Johanniter GmbH – Johanniter-Krankenhaus Bonn</t>
  </si>
  <si>
    <t>Brustzentrum Aachen Stadt</t>
  </si>
  <si>
    <t>Brustzentrum Münsterland</t>
  </si>
  <si>
    <t>R31</t>
  </si>
  <si>
    <t>R31 &lt; 70%</t>
  </si>
  <si>
    <t>R25 - R27</t>
  </si>
  <si>
    <t>R31 &gt; 95%</t>
  </si>
  <si>
    <t xml:space="preserve">davon operierte Primärfälle
mit neoadjuvanter oder präoperativer systemischer Therapie* </t>
  </si>
  <si>
    <t>Primärfälle mit invasivem Mammakarzinom mit HER-2 pos. Befund ≥ pT1c (bei neoadj. vorbehandelten u. bei nicht operierten Pat: ≥ cT1c)
(ohne primär M1 Pat.)</t>
  </si>
  <si>
    <t xml:space="preserve">Primärfälle invasives Mammakarzinom, pN1mi ohne neoadj. Chemotherapie </t>
  </si>
  <si>
    <t>Vorstellung aller Pat. mit 1. Lokalrezidiv/ u./o. 1. Fernmetastasierung in der Tumorkonferenz</t>
  </si>
  <si>
    <t>Pat. des Nenners, die in der Tumorkonferenz vorgestellt wurden</t>
  </si>
  <si>
    <t>Pat. des Nenners, bei denen mit einer endokrin basierten Therapie im metastasierten Stadium als First-line-Therapie begonnen wurde</t>
  </si>
  <si>
    <t>Pat. mit steroidrez. pos. und HER2-negativem inv. Mammakarzinom mit 1. Fernmetastasierung 
(incl. Primär M1 Pat.)</t>
  </si>
  <si>
    <t>Pat. des Nenners, die stationär oder ambulant durch den Sozialdienst beraten wurden</t>
  </si>
  <si>
    <t>Anteil
Studienpat.</t>
  </si>
  <si>
    <t>Pat. die in eine Studie mit Ethikvotum eingebracht wurden</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</si>
  <si>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</si>
  <si>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</si>
  <si>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</si>
  <si>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&lt; 60%</t>
  </si>
  <si>
    <t>&lt; 50%</t>
  </si>
  <si>
    <t>4) Krebsregister können in der Regel keine Follow-Up-Daten zu Pat. außerhalb des Einzugsgebietes einholen.</t>
  </si>
  <si>
    <t>Alle Pat. ab dem Folgejahr der EZ sind im Follow-Up zu berücksichtigen; alle relevanten Nachsorgejahre sind zu bearbeiten, abhängig vom Datum der Erstzertifizierung.</t>
  </si>
  <si>
    <t xml:space="preserve">2017, </t>
  </si>
  <si>
    <t>2021,</t>
  </si>
  <si>
    <t>Brustkrebszentrum am Marienhaus Klinikum Mainz</t>
  </si>
  <si>
    <t>Marienhaus Klinikum Mainz</t>
  </si>
  <si>
    <t>Brustkrebszentrum Esslingen (BZE)</t>
  </si>
  <si>
    <t>Brustkrebszentrum des DONAUISAR Klinikums Deggendorf</t>
  </si>
  <si>
    <t>Regionales Brustzentrum Dresden am Nationalen Centrum für Tumorerkrankungen Dresden (NCT/UCC)</t>
  </si>
  <si>
    <t>Oberschwabenklinik St. Elisabethen-Klinikum Ravensburg</t>
  </si>
  <si>
    <t>Brustkrebszentrum Ostsachsen - Ebersbach</t>
  </si>
  <si>
    <t>Krankenhausgesellschaft St. Vincenz</t>
  </si>
  <si>
    <t>Brustzentrum am UKSH, Campus Lübeck</t>
  </si>
  <si>
    <t>Brustkrebszentrum Hegau-Bodensee</t>
  </si>
  <si>
    <t>Brustzentrum Bergstraße</t>
  </si>
  <si>
    <t>Kreiskrankenhaus Bergstraße - eine Einrichtung des Universitätsklinikums Heidelberg</t>
  </si>
  <si>
    <t>Brustkrebszentrum Waldfriede Berlin</t>
  </si>
  <si>
    <t>Brustkrebszentrum Pirmasens</t>
  </si>
  <si>
    <t xml:space="preserve">Städtisches Krankenhaus Pirmasens </t>
  </si>
  <si>
    <t>Brustkrebszentrum am Diako Mannheim</t>
  </si>
  <si>
    <t>Diako Mannheim</t>
  </si>
  <si>
    <t>Brustkrebszentrum St. Claraspital Basel</t>
  </si>
  <si>
    <t>St. Claraspital Basel</t>
  </si>
  <si>
    <t>Brustkrebszentrum Lindenhof Bern</t>
  </si>
  <si>
    <t xml:space="preserve">Lindenhofspital Bern </t>
  </si>
  <si>
    <t>Engeriedspital Bern</t>
  </si>
  <si>
    <t>Brustkrebszentrum St. Anna Luzern</t>
  </si>
  <si>
    <t>Hirslanden Klinik St. Anna Luzern</t>
  </si>
  <si>
    <t>Interdisziplinäres Brustkrebszentrum am Helios Universitätsklinikum Wuppertal</t>
  </si>
  <si>
    <t>Helios Universitätsklinikum Wuppertal</t>
  </si>
  <si>
    <t>Brustzentrum Augusta</t>
  </si>
  <si>
    <t>Augusta-Kranken-Anstalt Bochum</t>
  </si>
  <si>
    <t>Ludgerus-Kliniken Münster - Standort Clemenshospital</t>
  </si>
  <si>
    <t>5.2.13</t>
  </si>
  <si>
    <t>Breast Cancer Centre Groupe Sein Centre Hospitalier de Luxembourg</t>
  </si>
  <si>
    <t>Centre Hospitalier de Luxembourg</t>
  </si>
  <si>
    <t>Brustkrebszentrum am Evangelischen Krankenhaus Düsseldorf</t>
  </si>
  <si>
    <t>Evangelisches Krankenhaus Düsseldorf</t>
  </si>
  <si>
    <t>Brustkrebszentrum Klinikum Garmisch-Partenkirchen</t>
  </si>
  <si>
    <t>Klinikum Garmisch-Partenkirchen</t>
  </si>
  <si>
    <t>Luxemburg</t>
  </si>
  <si>
    <t>Brustkrebszentrum Lahr</t>
  </si>
  <si>
    <t>Brustzentrum des Tumorzentrums Freiburg - CCCF Freiburg</t>
  </si>
  <si>
    <t>Einschluss von möglichst vielen Pat. in Studien</t>
  </si>
  <si>
    <t xml:space="preserve">2018, </t>
  </si>
  <si>
    <t>2022,</t>
  </si>
  <si>
    <t>Ortenau Klinikum Lahr-Ettenheim</t>
  </si>
  <si>
    <t>CCC Tübingen-Stuttgart am Universitätsklinikum Tübingen</t>
  </si>
  <si>
    <t>Klinikum am Gesundbrunnen / SLK-Kliniken Heilbronn</t>
  </si>
  <si>
    <t>Sana Kliniken Landkreis Biberach Frauenklinik</t>
  </si>
  <si>
    <t xml:space="preserve">Alb-Donau Klinikum Ehingen Frauenklinik Ehingen </t>
  </si>
  <si>
    <t>Brustzentrum Aschaffenburg</t>
  </si>
  <si>
    <t>Universitätsklinikum Brandenburg an der Havel</t>
  </si>
  <si>
    <t>Regiomed Klinikum Coburg GmbH</t>
  </si>
  <si>
    <t>Brustzentrum am LMU Klinikum</t>
  </si>
  <si>
    <t>LMU Klinikum</t>
  </si>
  <si>
    <t>DIAKO Krankenhaus</t>
  </si>
  <si>
    <t>Universitätsklinikum Ruppin-Brandenburg</t>
  </si>
  <si>
    <t>Stadtspital Zürich Triemli</t>
  </si>
  <si>
    <t>Brustkrebszentrum am Klinikum Osnabrück</t>
  </si>
  <si>
    <t>Klinikum Osnabrück</t>
  </si>
  <si>
    <t>Bethesda Spital Basel</t>
  </si>
  <si>
    <t>Brustkrebszentrum Thurgau am Kantonsspital Münsterlingen</t>
  </si>
  <si>
    <t xml:space="preserve">Kantonsspital Münsterlingen </t>
  </si>
  <si>
    <t>Brustkrebszentrum Krankenhaus Düren</t>
  </si>
  <si>
    <t>Krankenhaus Düren</t>
  </si>
  <si>
    <t>Kooperatives Brustkrebszentrum Paderborn</t>
  </si>
  <si>
    <t>St. Vincenz-Krankenhaus Paderborn, Standort Frauen- und Kinderklinik St. Louise</t>
  </si>
  <si>
    <t>Brustzentrum Rheinisch Bergischer Kreis</t>
  </si>
  <si>
    <t>Evangelisches Krankenhaus Bergisch Gladbach</t>
  </si>
  <si>
    <t>Brustzentrum Rhein-Kreis-Neuss</t>
  </si>
  <si>
    <t>Johanna-Etienne-Krankenhaus Neuss</t>
  </si>
  <si>
    <t>Brustkrebszentrum BETHESDA Duisburg</t>
  </si>
  <si>
    <t>Evangelisches Krankenhaus BETHESDA zu Duisburg</t>
  </si>
  <si>
    <t>Brustzentrum Siegen-Olpe</t>
  </si>
  <si>
    <t>Jung-Stilling-Krankenhaus</t>
  </si>
  <si>
    <r>
      <t xml:space="preserve">kein Ereignis pro Fall eingetreten 
( =(O + P) - U - Z - AE ) </t>
    </r>
    <r>
      <rPr>
        <vertAlign val="superscript"/>
        <sz val="8"/>
        <rFont val="Arial Black"/>
        <family val="2"/>
      </rPr>
      <t>11)</t>
    </r>
  </si>
  <si>
    <t>Welche Daten erhalten Sie vom Krebsregister (§65c)?</t>
  </si>
  <si>
    <t>Keine Auswahl zutreffend</t>
  </si>
  <si>
    <t>2a) Primärtumor weder klinisch noch pathologisch nachweisbar bei positiven Lymphknoten und ohne primärer Metastasierung.</t>
  </si>
  <si>
    <t>2b) Primärtumor weder klinisch noch pathologisch nachweisbar bei negativen oder positiven Lymphknoten und mit primärer Metastasierung.</t>
  </si>
  <si>
    <t>Primärfälle des Nenners, die in der postoperativen Tumorkonferenz vorgestellt wurden</t>
  </si>
  <si>
    <t>Primärfälle des Nenners, denen eine Radiatio empfohlen wurde</t>
  </si>
  <si>
    <t xml:space="preserve">Psychoonkologisches Distress-Screening </t>
  </si>
  <si>
    <t>Adäquate Rate an psychoonkologischem Distress-Screening</t>
  </si>
  <si>
    <t>Pat. des Nenners, die psychoonkologisch gescreent wurden</t>
  </si>
  <si>
    <t>≥ 65%</t>
  </si>
  <si>
    <t>Brusterhaltendes Vorgehen bei pT1 (inkl. (y)pT1 u. (y)pT0)</t>
  </si>
  <si>
    <t>≥ 70% BET bei Primärfällen mit pT1 (inkl. (y)pT1 u. (y)pT0)</t>
  </si>
  <si>
    <t>Operierte Primärfälle mit pT1 (inkl. (y)pT1) u. (y)pT0)</t>
  </si>
  <si>
    <t>≥ 70%</t>
  </si>
  <si>
    <t>Primärfälle DCIS mit abgeschlossener operativer Therapie und BET</t>
  </si>
  <si>
    <t>Weibliche Primärfälle invasives Mammakarzinom mit negativem pN-Staging und ohne präoperative tumorspezifische Therapie</t>
  </si>
  <si>
    <t>Männliche Primärfälle invasives Mammakarzinom mit negativem pN-Staging und ohne präoperative tumorspezifische Therapie</t>
  </si>
  <si>
    <r>
      <t xml:space="preserve">2023 </t>
    </r>
    <r>
      <rPr>
        <vertAlign val="superscript"/>
        <sz val="9"/>
        <rFont val="Arial"/>
        <family val="2"/>
      </rPr>
      <t>10)</t>
    </r>
  </si>
  <si>
    <t xml:space="preserve">2019, </t>
  </si>
  <si>
    <t>2023,</t>
  </si>
  <si>
    <r>
      <t xml:space="preserve">(jedes T inkl. Tis/Tx </t>
    </r>
    <r>
      <rPr>
        <b/>
        <vertAlign val="superscript"/>
        <sz val="9"/>
        <color theme="1"/>
        <rFont val="Arial"/>
        <family val="2"/>
      </rPr>
      <t>2a)</t>
    </r>
    <r>
      <rPr>
        <sz val="8"/>
        <color theme="1"/>
        <rFont val="Arial"/>
        <family val="2"/>
      </rPr>
      <t>,</t>
    </r>
    <r>
      <rPr>
        <vertAlign val="superscript"/>
        <sz val="8"/>
        <color theme="1"/>
        <rFont val="Arial"/>
        <family val="2"/>
      </rPr>
      <t xml:space="preserve"> </t>
    </r>
    <r>
      <rPr>
        <sz val="8"/>
        <color theme="1"/>
        <rFont val="Arial"/>
        <family val="2"/>
      </rPr>
      <t>M0)</t>
    </r>
  </si>
  <si>
    <r>
      <t>(jedes N, jedes T inkl. Tis/Tx</t>
    </r>
    <r>
      <rPr>
        <b/>
        <vertAlign val="superscript"/>
        <sz val="9"/>
        <rFont val="Arial"/>
        <family val="2"/>
      </rPr>
      <t>2b)</t>
    </r>
    <r>
      <rPr>
        <sz val="9"/>
        <rFont val="Arial"/>
        <family val="2"/>
      </rPr>
      <t>)</t>
    </r>
  </si>
  <si>
    <t>Primärfälle des Nenners, denen eine Chemotherapie empfohlen wurde</t>
  </si>
  <si>
    <t>Primärfälle des Nenners, denen eine endokrine Therapie empfohlen wurde</t>
  </si>
  <si>
    <t>Primärfälle des Nenners, denen eine Trastuzumabtherapie über 1 Jahr empfohlen wurde</t>
  </si>
  <si>
    <t>Interdisziplinäres Brustzentrum Böblingen</t>
  </si>
  <si>
    <t>Uniklinikum Erlangen</t>
  </si>
  <si>
    <t>Brustkrebszentrum AGAPLESION MARKUS KRANKENHAUS Frankfurt</t>
  </si>
  <si>
    <t>AGAPLESION MARKUS KRANKENHAUS Frankfurt</t>
  </si>
  <si>
    <t>Johanniter GmbH - Johanniter Krankenhaus Stendal</t>
  </si>
  <si>
    <t>Kreiskrankenhaus Torgau "Johann-Kentmann"</t>
  </si>
  <si>
    <t>Interdisziplinäres Brustzentrum der Technischen Universität München</t>
  </si>
  <si>
    <t>Brustkrebszentrum Bodensee</t>
  </si>
  <si>
    <t>Brustkrebszentrum Marienhaus Klinikum Neuwied</t>
  </si>
  <si>
    <t>Klinik für Frauenheilkunde und Geburtshilfe, Universitätsklinikum Frankfurt</t>
  </si>
  <si>
    <t>Kantonsspital Baden</t>
  </si>
  <si>
    <t>AMEOS Klinikum Eutin</t>
  </si>
  <si>
    <t>Brustkrebszentrum Hof</t>
  </si>
  <si>
    <t>Sana Klinikum Hof</t>
  </si>
  <si>
    <t>KEM | Evang. Kliniken Essen-Mitte, Standort Evang. Huyssens-Stiftung Essen-Huttrop</t>
  </si>
  <si>
    <t>Brustkrebszentrum Thurgau am Kantonsspital Frauenfeld</t>
  </si>
  <si>
    <t>Kantonsspital Frauenfeld</t>
  </si>
  <si>
    <t>Brustkrebszentrum München Bogenhausen</t>
  </si>
  <si>
    <t xml:space="preserve">Arabella Klinik München </t>
  </si>
  <si>
    <t>Brustkrebszentrum Königs Wusterhausen</t>
  </si>
  <si>
    <t>Klinikum Dahme Spreewald, Achenbach-Krankenhaus Königs Wusterhausen</t>
  </si>
  <si>
    <t>Mammazentrum Hamburg am Krankenhaus Jerusalem</t>
  </si>
  <si>
    <t>Krankenhaus Jerusalem Hamburg</t>
  </si>
  <si>
    <t>Brustkrebszentrum Leverkusen</t>
  </si>
  <si>
    <t>Klinikum Leverkusen</t>
  </si>
  <si>
    <t>Brustkrebszentrum der Kliniken des Main-Taunus Kreises am Standort Bad Soden</t>
  </si>
  <si>
    <t>Kliniken des Main-Taunus Kreises, Standort Bad Soden</t>
  </si>
  <si>
    <t>Evangelisches Klinikum Gelsenkirchen</t>
  </si>
  <si>
    <t>Klinikum Lippe - Standort Detmold</t>
  </si>
  <si>
    <t>Westfälisches Brustzentrum</t>
  </si>
  <si>
    <t>Klinikum Dortmund</t>
  </si>
  <si>
    <t>Brustzentrum Gummersbach-Oberberg</t>
  </si>
  <si>
    <t>Klinikum Oberberg Gummersbach</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</si>
  <si>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</si>
  <si>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</si>
  <si>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</si>
  <si>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</si>
  <si>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</si>
  <si>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</si>
  <si>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1.2.2.a</t>
  </si>
  <si>
    <t>1.7.5.a</t>
  </si>
  <si>
    <t>1.2.0.a</t>
  </si>
  <si>
    <t>Operierte Primärfälle (Primärfalldefinition siehe 1.2.0.a)</t>
  </si>
  <si>
    <t>Anlage EB Version M1.1 (Auditjahr 2025 / Kennzahlenjahr 2024)</t>
  </si>
  <si>
    <t>davon Primärfälle mit neoadjuvanter o. präoperativer systemischer Therapie mit geplanter OP 
(Bsp.: 12/24 ED, 1-6/25 neoadj. Th., Audit 7/25) ***</t>
  </si>
  <si>
    <r>
      <t xml:space="preserve">davon Primärfälle mit neoadjuvanter o. präoperativer systemischer Therapie mit geplanter OP 
</t>
    </r>
    <r>
      <rPr>
        <b/>
        <sz val="8"/>
        <color rgb="FF000000"/>
        <rFont val="Arial"/>
        <family val="2"/>
      </rPr>
      <t>(Bsp.: 12/24 ED, 1-6/25 neoadj. Th., Audit 7/25)</t>
    </r>
    <r>
      <rPr>
        <b/>
        <sz val="9"/>
        <color indexed="8"/>
        <rFont val="Arial"/>
        <family val="2"/>
      </rPr>
      <t xml:space="preserve"> ***</t>
    </r>
  </si>
  <si>
    <t>IK-Nummer</t>
  </si>
  <si>
    <t>Standort-Nummer</t>
  </si>
  <si>
    <t>davon Operierte Primärfälle</t>
  </si>
  <si>
    <t>davon Operiert</t>
  </si>
  <si>
    <t>Liste der Studien</t>
  </si>
  <si>
    <t xml:space="preserve">Verantwortlicher Kooperationspartner </t>
  </si>
  <si>
    <t>Name der Studie</t>
  </si>
  <si>
    <t>Anzahl Zentrumspat. im Kennzahlenjahr rekrutiert</t>
  </si>
  <si>
    <r>
      <rPr>
        <u/>
        <sz val="8.5"/>
        <rFont val="Arial"/>
        <family val="2"/>
      </rPr>
      <t>Bearbeitungshinweis:</t>
    </r>
    <r>
      <rPr>
        <sz val="8.5"/>
        <rFont val="Arial"/>
        <family val="2"/>
      </rPr>
      <t xml:space="preserve"> Es dürfen ausschließlich Studienpat. gezählt werden, die im Zentrum als Zentrumspat. geführt werden und die im Kennzahlenjahr in die Studie eingeschlossen wurden (keine Doppelzählung von Studienpat. in mehr als 1 Zentrum, Ausnahme ZPM siehe FAQ). </t>
    </r>
  </si>
  <si>
    <t xml:space="preserve">                                              Gesamt:</t>
  </si>
  <si>
    <t>Tabelle Operateure (Qualifikation gemäß EB 5.2.4)</t>
  </si>
  <si>
    <t>Titel, Name, Vorname</t>
  </si>
  <si>
    <t>Status Operateur</t>
  </si>
  <si>
    <t>Standort/ Klinikum</t>
  </si>
  <si>
    <t>Zeitraum
von  …  bis im Kennzahlenjahr</t>
  </si>
  <si>
    <t>Anzahl OP's
(gemäß EB 5.2.4)</t>
  </si>
  <si>
    <t>Begründung/ Ursache</t>
  </si>
  <si>
    <t>nicht benannter Operateur</t>
  </si>
  <si>
    <t>Senior-Operateur</t>
  </si>
  <si>
    <t xml:space="preserve">        Summe:</t>
  </si>
  <si>
    <r>
      <t xml:space="preserve">2024 </t>
    </r>
    <r>
      <rPr>
        <vertAlign val="superscript"/>
        <sz val="9"/>
        <rFont val="Arial"/>
        <family val="2"/>
      </rPr>
      <t>10)</t>
    </r>
  </si>
  <si>
    <t xml:space="preserve">   Ø Follow-Up Quote der Jahre 2020-2022</t>
  </si>
  <si>
    <t xml:space="preserve">2) Die Daten müssen fallbezogen rückverfolgbar sein. Es wird der aktuellste Status des Falles im Vorkennzahlenjahr berücksichtigt. (Beispiel Kennzahlenjahr 2023, Vorkennzahlenjahr 2022: Erstdiagnose in 2012: Meldung "tumorfrei und lebend" am 31.12.2022 wird berücksichtigt, das Lokalrezidiv am 01.01.2023 nicht). Todesmeldungen bis Ende des Kennzahlenjahres sind immer gültig (Beispiel: Erstdiagnose 2014, Todesdatum 01.07.2015; gültig unabängig vom Kennzahlenjahr). Gültige Follow-Up-Meldung: Vital- und Tumorstatus. Vitalstatus ist nicht ausreichend. </t>
  </si>
  <si>
    <t>Follow-Up Quote der Jahre 2020-2022, verpflichtend anzugeben bei "Reduktion Auditzyklus"</t>
  </si>
  <si>
    <t>Follow-Up Quote der Jahre 2020-2022, verpflichtend anzugeben bei "Reduktion Auditzyklus"  (positive Unplausibilität)</t>
  </si>
  <si>
    <t>2020-2022</t>
  </si>
  <si>
    <t>geringe Follow-Up Quote der Jahre 2020-2022</t>
  </si>
  <si>
    <t>zu hohe Follow-Up Quote der Jahre 2020-2022</t>
  </si>
  <si>
    <t xml:space="preserve">2020, </t>
  </si>
  <si>
    <t>2024,</t>
  </si>
  <si>
    <t>Auditjahr 2025 / Kennzahlenjahr 2024</t>
  </si>
  <si>
    <t>benannter Operateur</t>
  </si>
  <si>
    <r>
      <t xml:space="preserve">Anzahl operative Eingriffe entsp. MM-Regelung G-BA**
</t>
    </r>
    <r>
      <rPr>
        <sz val="8"/>
        <rFont val="Arial"/>
        <family val="2"/>
      </rPr>
      <t>(5-401.11/13; 5-402.10-13; 5-404.00-03; 5-406.10-13; 5-407.00-03; 5-870.90/1; 5-870.a0-ax; 5-872.0-y; 5-874.0-2; 5-874.4-y; 5-877.0; 5-877.10-1x; 5-877.1x; 5-877.20-2x; 5-877.x/y)</t>
    </r>
  </si>
  <si>
    <t xml:space="preserve">Def. gemäß EB 1.2.0; 
automatischer Übertrag "Anzahl/ Zähler/ Nenner" in den Kennzahlenbogen   </t>
  </si>
  <si>
    <t>Grundlage des Erhebungsbogens stellt die TNM – Klassifikation maligner Tumoren, 8. Auflage 2017 sowie die ICD-Klassifikation ICD-10-GM 2024 (DIMDI) und die OPS-Klassifikation OPS 2024 (DIMDI) dar.
* Die kurzzeitige (3 Wo) präoperative Gabe von Tamoxifen oder AI zur Testung einer endokrinen Sensitivität wird nicht als neoadjuvante Therapie gewertet.
** Angegeben wird pro Körperseite (rechts/ links) jede Operation, bei der mindestens einer der im Feld D44 aufgeführten OPS-Kodes dokumentiert wurde. (https://www.g-ba.de/richtlinien/5/)
*** Pat. mit ED im Kennzahlenjahr, die bis zur Einreichung des Datenblattes nicht operiert sind u. bei Einreichung des Datenblattes eine präoperative o. neoadjuvante Therapie mit geplanter OP erhalten entsp. Empfehlung TK.</t>
  </si>
  <si>
    <t>5) Einseitig: Primärpatientin oder -patient, bei der/ dem im Kennzahlenjahr ein Mammakarzinom in einer Brust (links oder rechts) diagnostiziert wurde.</t>
  </si>
  <si>
    <t>7) Die Summe der nach Tumorstadien stratifizierten Primärfälle muss mit den Primärfällen, die aus den einseitig bzw. beidseitig erkrankten Patienten errechnet wurden, übereinstimmen (Felder Spalte L/ Zeile 30 = Spalte L/ Zeile 41)</t>
  </si>
  <si>
    <t>6) Beidseitig: Primärpatientin oder -patient, bei der/ dem sowohl im Kennzahlenjahr in der linken als auch in der rechten Brust Mammakarzinome synchron diagnostiziert und gemeinsam therapiert wurden (in der Sondersituation jahresübergreifende Diagnose/ Therapie im Dezember 2024 und Januar 2025, Zuordnung beider Fälle und der Patientin/ des Patienten zu 2024).</t>
  </si>
  <si>
    <t xml:space="preserve">4) Pro Patientin/ Patient können maximal 2 Primärfälle gezählt werden (max. 1 Fall pro Brust). Weitere neue Tumoren innerhalb einer bereits erkrankten Brust (auch wenn diese histologisch eindeutig vom Primärtumor abgrenzbar sind) stellen keinen neuen/ zusätzlichen Primärfall dar. </t>
  </si>
  <si>
    <t>Pat. mit neuaufgetretenem (Lokal-) Rezidiv und/ oder Fernmetastasen 
(= Kennzahl 14b) 
(ohne primär M1 Pat.)</t>
  </si>
  <si>
    <t>Primärfallpat.
(= Kennzahl 14a) + Pat. mit neuaufgetretenem (Lokal-) Rezidiv und/ oder Fernmetastasen
(= Kennzahl 14b)
(ohne primär M1 Pat., da bereits in den Primärfällen enthalten)</t>
  </si>
  <si>
    <t>Primärfallpat. 
(= Kennzahl 14a) + Pat. mit neuaufgetretenem (Lokal-) Rezidiv und/ oder Fernmetastasen 
(= Kennzahl 14b) 
(ohne primär M1 Pat., da bereits in den Primärfällen enthalten)</t>
  </si>
  <si>
    <t>Pat. mit neuaufgetretenem (Lokal-) Rezidiv und/ oder Fernmetastasen 
(ohne primär M1 Pat.)</t>
  </si>
  <si>
    <t>Pat. mit neuaufgetretenem  (Lokal-) Rezidiv und/ oder Fernmetastasen (ohne primär M1 Pat.)</t>
  </si>
  <si>
    <t>Die jeweilige Eingabe oder Änderung  "Anzahl/ Zähler/ Nenner" (gepunktete Felder) ist nur im Tabellenblatt "Basisdaten" möglich, die Übertragung erfolgt automatisch.
Der Zähler ist immer eine Teilmenge des Nenners (Ausnahme: Kennzahl 12 -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</si>
  <si>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</si>
  <si>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6) Lebend: Wiedererkrankungsereignisse bei Fällen, bei denen bis zum Ende des Kennzahlenjahres kein Todesereignis aufgetreten ist und eine aktuelle, gültige Follow-Up-Meldung (siehe FN 2) vorliegt)
    Verstorben mit Ereignis in Follow-Up: Wiedererkrankungsereignisse bei Fällen, bei denen bis zum Ende des Kennzahlenjahres ein Todesereignis aufgetreten ist.
    Verstorben ohne Ereignis in Follow-Up/ unbekannt: Fälle, bei denen ohne ein vorher aufgetretenes Wiedererkrankungsereignis bzw. unbekannte Ursache, ein Todesereignis aufgetreten ist.</t>
  </si>
  <si>
    <t>8) Regelungen bei synchron diagnostizierten Mammakarzinomen in der linken und rechten Brust (werden immer einem Kennzahlenjahr zugeordnet, siehe Fußnote 6 Basisdaten)
      - Ist die Fernmetastasierung nicht eindeutig einem Primärfall zuzuordnen, ist sie beiden Primärfällen zuzuordnen. 
      - Ein Zweittumor ist beiden Primärfällen zuzuordnen. Von Zweittumor wird gesprochen, wenn dieser nach Zeitpunkt der Tumorfreiheit des Primarfalls/ der Primärfälle auftritt. 
      - Ein Todesereignis ist beiden Primärfällen zuzuordnen.</t>
  </si>
  <si>
    <t xml:space="preserve">9) Zweittumoren sind:
             - maligne Neuerkrankungen außerhalb der bereits erkrankten Brust (≠ C50) 
             - maligne Neuerkrankungen (jedoch inklusive DCIS, D05.1) in der kontralateralen Brust, die bisher nicht erkrankt war (= C50). Beispiel: Erstdiagnose Mammakarzinom 2006 in der linken Brust  
             =˃ das Mammakarzinom in der rechten Brust ist Primärfäll für 2012 und Zweitkarzinom in Bezug auf den Primärfall im Jahr 2006 
             - maligne Neuerkrankungen in der Brust (histologisch abgrenzbar von bisherige Primärtumoren) (= C50) (jedoch inklusive DCIS, D05.1); sollte zukünftig nicht als Lokalrezidiv gewertet werden.
             - ausgenommen von den oben genannten sind Basaliome (= Basalzellneoplasien, C44, ICD-O-3 809-811 Histologie) </t>
  </si>
  <si>
    <t>11) Wenn die Matrizen Ergebnisqualität von einem Krebsregister nach § 65c erstellt werden, gelten Patienten, für die am 31.12. des Vorkennzahlenjahres kein meldepflichtiges Ereignis vorliegt (Rezidiv (lokal/ Lymphknoten), Fernmetastasen, Zweitkarzinomen, Tod) in den jeweiligen Spalten der Matrizen Ergebnisqualität als „tumorfrei“ (= passives Follow-Up). Besonderheiten für den Umgang mit passivem Follow-Up im OncoBox-Organ sind in der OncoBox-Spezifikation Tabellenblatt „EQ-Ausprägungen“ als FAQ zu finden.</t>
  </si>
  <si>
    <r>
      <t>Chemotherapie bei rez. pos. und nodalpos. Befu</t>
    </r>
    <r>
      <rPr>
        <sz val="8"/>
        <color theme="1"/>
        <rFont val="Arial"/>
        <family val="2"/>
      </rPr>
      <t>nd</t>
    </r>
    <r>
      <rPr>
        <vertAlign val="superscript"/>
        <sz val="8"/>
        <color theme="1"/>
        <rFont val="Arial"/>
        <family val="2"/>
      </rPr>
      <t xml:space="preserve">1 </t>
    </r>
    <r>
      <rPr>
        <vertAlign val="superscript"/>
        <sz val="8"/>
        <color indexed="8"/>
        <rFont val="Arial"/>
        <family val="2"/>
      </rPr>
      <t xml:space="preserve"> </t>
    </r>
  </si>
  <si>
    <t>Chemotherapie bei möglichst vielen rez. pos. und nodalpos. Primärfällen</t>
  </si>
  <si>
    <t>Primärfälle mit invasivem Mammakarzinom mit rez. pos. und nodalpositivem Befund (ohne primär M1 Pat.)</t>
  </si>
  <si>
    <t>Tis (= DCIS,</t>
  </si>
  <si>
    <t xml:space="preserve">Paget)
(N0, M0) </t>
  </si>
  <si>
    <t>Änderung: 23.09.2024</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</si>
  <si>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</si>
  <si>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</si>
  <si>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</si>
  <si>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</si>
  <si>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</si>
  <si>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</si>
  <si>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</si>
  <si>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Art der Studie interventionell</t>
  </si>
  <si>
    <t>Art der Studie nicht interventionell</t>
  </si>
  <si>
    <t>Anzahl eingeschlossene Pat. im Kennzahlenjahr</t>
  </si>
  <si>
    <t>Anzahl Zentrumspat. im Kennzahlenjahr rekurtiert</t>
  </si>
  <si>
    <t>in anderen Zentren/ Kliniken in eine Studie eingeschlossen wurden (fakultativ)</t>
  </si>
  <si>
    <t>Tis (= DCIS, Paget) (N0, M0)</t>
  </si>
  <si>
    <t xml:space="preserve">Tis  (= DCIS, Paget)  (N0, M0)  </t>
  </si>
  <si>
    <t>Universitätsklinikum Giessen und Marburg GmbH, Standort Marburg, Klinik für Frauenheilkunde und Geburtshilfe</t>
  </si>
  <si>
    <t>Brustkrebszentrum Robert Bosch Krankenhaus</t>
  </si>
  <si>
    <t>Robert Bosch Krankenhaus Stuttgart</t>
  </si>
  <si>
    <t>ALB FILS KLINIKUM Göppingen</t>
  </si>
  <si>
    <t>Südthüringer Brustkrebszentrum Suhl</t>
  </si>
  <si>
    <t>Brustkrebszentrum St. Marien Amberg</t>
  </si>
  <si>
    <t>Brustzentrum der ViDia Christliche Kliniken Karlsruhe</t>
  </si>
  <si>
    <t>ViDia Christliche Kliniken Karlsruhe</t>
  </si>
  <si>
    <t>Krankenhaus St. Elisabeth und St. Barbara Halle (Saale)</t>
  </si>
  <si>
    <t>Holsteinisches Brustkrebszentrum - Heide, Itzehoe, Neumünster</t>
  </si>
  <si>
    <t>Brustzentrum Asklepios Harzkliniken Goslar</t>
  </si>
  <si>
    <t>Asklepios Harzkliniken</t>
  </si>
  <si>
    <t>Brustkrebszentrum Ludwigsburg</t>
  </si>
  <si>
    <t>Brustkrebszentrum Hansestadt Stendal</t>
  </si>
  <si>
    <t>Brustkrebszentrum DIAKOVERE Hannover</t>
  </si>
  <si>
    <t>DIAKOVERE Henriettenstift</t>
  </si>
  <si>
    <t>Brustzentrum Sigmaringen</t>
  </si>
  <si>
    <t>Brustkrebszentrum Marienhaus Klinikum Neunkirchen</t>
  </si>
  <si>
    <t>Marienhaus Klinikum Neunkirchen</t>
  </si>
  <si>
    <t>Brustkrebszentrum Borna - Leipziger Land</t>
  </si>
  <si>
    <t>Brustkrebszentrum der GFO Kliniken Bonn, St. Marien Hospital</t>
  </si>
  <si>
    <t>GFO Kliniken Bonn, St. Marien Hospital</t>
  </si>
  <si>
    <t>Brustzentrum Neustadt an der Weinstraße</t>
  </si>
  <si>
    <t>Krankenhaus Hetzelstift</t>
  </si>
  <si>
    <t xml:space="preserve">Brustkrebszentrum Universitätsspital Basel - Bethesda Spital Basel </t>
  </si>
  <si>
    <t>Brustkrebszentrum Marien-Hospital Wesel</t>
  </si>
  <si>
    <t>Marien-Hospital Wesel</t>
  </si>
  <si>
    <t>Brustkrebszentrum des Tumorzentrums Südostschweiz am Kantonsspital Graubünden</t>
  </si>
  <si>
    <t>Brustkrebszentrum an der Medizinischen Universität Lausitz- Carl Thiem | Cottbus</t>
  </si>
  <si>
    <t>Medizinische Universität Lausitz – Carl Thiem</t>
  </si>
  <si>
    <t>Brustkrebszentrum Städtische Kliniken Mönchengladbach</t>
  </si>
  <si>
    <t>Elisabeth-Krankenhaus Rheydt</t>
  </si>
  <si>
    <t>Brustkrebszentrum Bethanien Moers - St. Antonius-Hospital Kleve</t>
  </si>
  <si>
    <t>Stiftung Krankenhaus Bethanien für die Grafschaft Moers</t>
  </si>
  <si>
    <t>St. Antonius-Hospital Kleve</t>
  </si>
  <si>
    <t>Brustkrebszentrum am Krankenhaus Reinbek St. Adolf-Stift</t>
  </si>
  <si>
    <t>Reinbek St. Adolf-Stift</t>
  </si>
  <si>
    <t>Brustkrebszentrum Augusta Bochum</t>
  </si>
  <si>
    <t>Brustkrebszentrum der Universitätsmedizin Magdeburg</t>
  </si>
  <si>
    <t>Universitätsklinikum Magdeburg</t>
  </si>
  <si>
    <t>Brustkrebszentrum am Städtischen Klinikum Dessau</t>
  </si>
  <si>
    <t>Städtisches Klinikum Dessau</t>
  </si>
  <si>
    <t>Univ. CCC-Subzentrum BRUST | Brustkrebszentrum Graz</t>
  </si>
  <si>
    <t>Landeskrankenhaus - Universitätsklinikum Graz</t>
  </si>
  <si>
    <t>Brustkrebszentrum Zollikerberg | Zürich</t>
  </si>
  <si>
    <t>Spital Zollikerberg</t>
  </si>
  <si>
    <t>Brustkrebszentrum am Maindreieck Klinik Kitzinger Land</t>
  </si>
  <si>
    <t>Klinik Kitzinger Land</t>
  </si>
  <si>
    <t>Brustkrebszentrum Pirna</t>
  </si>
  <si>
    <t xml:space="preserve">Helios Klinikum Pirna </t>
  </si>
  <si>
    <t>Brustkrebszentrum Klinikum Dortmund</t>
  </si>
  <si>
    <t>Südthüringer Brustkrebszentrum Helios Klinikum Meiningen</t>
  </si>
  <si>
    <t>Brustkrebszentrum Freudenstadt</t>
  </si>
  <si>
    <t>Brustzentrum Mettmann-Süd</t>
  </si>
  <si>
    <t>GFO Kliniken Mettmann-Süd</t>
  </si>
  <si>
    <t>Brustzentrum Johanniter-Klinken Bonn</t>
  </si>
  <si>
    <t>OncoAssist Tumordokumentation</t>
  </si>
  <si>
    <t>FAB-Z-001-BG</t>
  </si>
  <si>
    <t>FAB-Z-002</t>
  </si>
  <si>
    <t>FAB-Z-003-BG</t>
  </si>
  <si>
    <t>FAB-Z-004-BG</t>
  </si>
  <si>
    <t>FAB-Z-005-BG</t>
  </si>
  <si>
    <t>FAB-Z-006-BG</t>
  </si>
  <si>
    <t>FAB-Z-007-1-BG</t>
  </si>
  <si>
    <t>FAB-Z-008-1-BG</t>
  </si>
  <si>
    <t>FAB-Z-008-2</t>
  </si>
  <si>
    <t>FAB-Z-009-BG</t>
  </si>
  <si>
    <t>FAB-Z-010-BG</t>
  </si>
  <si>
    <t>FAB-Z-012-1-BG</t>
  </si>
  <si>
    <t>FAB-Z-012-2</t>
  </si>
  <si>
    <t>FAB-Z-013</t>
  </si>
  <si>
    <t>FAB-Z-014-BG</t>
  </si>
  <si>
    <t>FAB-Z-015-1-BG</t>
  </si>
  <si>
    <t>FAB-Z-015-2</t>
  </si>
  <si>
    <t>FAB-Z-016-BG</t>
  </si>
  <si>
    <t>FAB-Z-017-BG</t>
  </si>
  <si>
    <t>FAB-Z-018-BG</t>
  </si>
  <si>
    <t>FAB-Z-020-BG</t>
  </si>
  <si>
    <t>FAB-Z-021-BG</t>
  </si>
  <si>
    <t>FAB-Z-022</t>
  </si>
  <si>
    <t>FAB-Z-023-BG</t>
  </si>
  <si>
    <t>FAB-Z-024-BG</t>
  </si>
  <si>
    <t>FAB-Z-025</t>
  </si>
  <si>
    <t>FAB-Z-026</t>
  </si>
  <si>
    <t>FAB-Z-027-BG</t>
  </si>
  <si>
    <t>FAB-Z-028-1</t>
  </si>
  <si>
    <t>FAB-Z-028-2</t>
  </si>
  <si>
    <t>FAB-Z-029-BG</t>
  </si>
  <si>
    <t>FAB-Z-030-1</t>
  </si>
  <si>
    <t>FAB-Z-030-2</t>
  </si>
  <si>
    <t>FAB-Z-031-BG</t>
  </si>
  <si>
    <t>FAB-Z-032</t>
  </si>
  <si>
    <t>FAB-Z-034</t>
  </si>
  <si>
    <t>FAB-Z-035</t>
  </si>
  <si>
    <t>FAB-Z-036-BG</t>
  </si>
  <si>
    <t>FAB-Z-037</t>
  </si>
  <si>
    <t>FAB-Z-038-BG</t>
  </si>
  <si>
    <t>FAB-Z-039-1</t>
  </si>
  <si>
    <t>FAB-Z-039-2</t>
  </si>
  <si>
    <t>FAB-Z-040</t>
  </si>
  <si>
    <t>FAB-Z-042-BG</t>
  </si>
  <si>
    <t>FAB-Z-043-BG</t>
  </si>
  <si>
    <t>FAB-Z-044-BG</t>
  </si>
  <si>
    <t>FAB-Z-045-BG</t>
  </si>
  <si>
    <t>FAB-Z-046-BG</t>
  </si>
  <si>
    <t>FAB-Z-047</t>
  </si>
  <si>
    <t>FAB-Z-048-BG</t>
  </si>
  <si>
    <t>FAB-Z-049</t>
  </si>
  <si>
    <t>FAB-Z-050-BG</t>
  </si>
  <si>
    <t>FAB-Z-051</t>
  </si>
  <si>
    <t>FAB-Z-052-BG</t>
  </si>
  <si>
    <t>FAB-Z-053-BG</t>
  </si>
  <si>
    <t>FAB-Z-054</t>
  </si>
  <si>
    <t>FAB-Z-056-BG</t>
  </si>
  <si>
    <t>FAB-Z-057-BG</t>
  </si>
  <si>
    <t>FAB-Z-058</t>
  </si>
  <si>
    <t>FAB-Z-059-BG</t>
  </si>
  <si>
    <t>FAB-Z-060-1-BG</t>
  </si>
  <si>
    <t>FAB-Z-060-2</t>
  </si>
  <si>
    <t>FAB-Z-061</t>
  </si>
  <si>
    <t>FAB-Z-062-BG</t>
  </si>
  <si>
    <t>FAB-Z-063-BG</t>
  </si>
  <si>
    <t>FAB-Z-064-1-BG</t>
  </si>
  <si>
    <t>FAB-Z-064-2</t>
  </si>
  <si>
    <t>FAB-Z-064-3</t>
  </si>
  <si>
    <t>FAB-Z-064-4</t>
  </si>
  <si>
    <t>FAB-Z-065</t>
  </si>
  <si>
    <t>FAB-Z-067-BG</t>
  </si>
  <si>
    <t>FAB-Z-069-BG</t>
  </si>
  <si>
    <t>FAB-Z-070-BG</t>
  </si>
  <si>
    <t>FAB-Z-071-1-BG</t>
  </si>
  <si>
    <t>FAB-Z-071-2</t>
  </si>
  <si>
    <t>FAB-Z-072</t>
  </si>
  <si>
    <t>FAB-Z-074</t>
  </si>
  <si>
    <t>FAB-Z-076-BG</t>
  </si>
  <si>
    <t>FAB-Z-077-BG</t>
  </si>
  <si>
    <t>FAB-Z-078-1-BG</t>
  </si>
  <si>
    <t>FAB-Z-078-2</t>
  </si>
  <si>
    <t>FAB-Z-079</t>
  </si>
  <si>
    <t>FAB-Z-081</t>
  </si>
  <si>
    <t>FAB-Z-083-BG</t>
  </si>
  <si>
    <t>FAB-Z-084-BG</t>
  </si>
  <si>
    <t>FAB-Z-085-BG</t>
  </si>
  <si>
    <t>FAB-Z-086</t>
  </si>
  <si>
    <t>FAB-Z-087-2</t>
  </si>
  <si>
    <t>FAB-Z-087-3</t>
  </si>
  <si>
    <t>FAB-Z-087-4</t>
  </si>
  <si>
    <t>FAB-Z-088-BG</t>
  </si>
  <si>
    <t>FAB-Z-089</t>
  </si>
  <si>
    <t>FAB-Z-090</t>
  </si>
  <si>
    <t>FAB-Z-091-BG</t>
  </si>
  <si>
    <t>FAB-Z-092-BG</t>
  </si>
  <si>
    <t>FAB-Z-093</t>
  </si>
  <si>
    <t>FAB-Z-094</t>
  </si>
  <si>
    <t>FAB-Z-095</t>
  </si>
  <si>
    <t>FAB-Z-096-BG</t>
  </si>
  <si>
    <t>FAB-Z-097</t>
  </si>
  <si>
    <t>FAB-Z-098-BG</t>
  </si>
  <si>
    <t>FAB-Z-099-BG</t>
  </si>
  <si>
    <t>FAB-Z-100</t>
  </si>
  <si>
    <t>FAB-Z-101-BG</t>
  </si>
  <si>
    <t>FAB-Z-102-BG</t>
  </si>
  <si>
    <t>FAB-Z-103-BG</t>
  </si>
  <si>
    <t>FAB-Z-104</t>
  </si>
  <si>
    <t>FAB-Z-105-BG</t>
  </si>
  <si>
    <t>FAB-Z-106-BG</t>
  </si>
  <si>
    <t>FAB-Z-107-BG</t>
  </si>
  <si>
    <t>FAB-Z-108</t>
  </si>
  <si>
    <t>FAB-Z-109-BG</t>
  </si>
  <si>
    <t>FAB-Z-110</t>
  </si>
  <si>
    <t>FAB-Z-111-BG</t>
  </si>
  <si>
    <t>FAB-Z-112-BG</t>
  </si>
  <si>
    <t>FAB-Z-113</t>
  </si>
  <si>
    <t>FAB-Z-114-BG</t>
  </si>
  <si>
    <t>FAB-Z-115-1</t>
  </si>
  <si>
    <t>FAB-Z-115-2</t>
  </si>
  <si>
    <t>FAB-Z-116-BG</t>
  </si>
  <si>
    <t>FAB-Z-117-BG</t>
  </si>
  <si>
    <t>FAB-Z-118-BG</t>
  </si>
  <si>
    <t>FAB-Z-119</t>
  </si>
  <si>
    <t>FAB-Z-120</t>
  </si>
  <si>
    <t>FAB-Z-121-BG</t>
  </si>
  <si>
    <t>FAB-Z-122-BG</t>
  </si>
  <si>
    <t>FAB-Z-123-BG</t>
  </si>
  <si>
    <t>FAB-Z-124</t>
  </si>
  <si>
    <t>FAB-Z-125-BG</t>
  </si>
  <si>
    <t>FAB-Z-126-1</t>
  </si>
  <si>
    <t>FAB-Z-126-2</t>
  </si>
  <si>
    <t>FAB-Z-127</t>
  </si>
  <si>
    <t>FAB-Z-128-BG</t>
  </si>
  <si>
    <t>FAB-Z-129-BG</t>
  </si>
  <si>
    <t>FAB-Z-130-BG</t>
  </si>
  <si>
    <t>FAB-Z-131</t>
  </si>
  <si>
    <t>FAB-Z-132</t>
  </si>
  <si>
    <t>FAB-Z-133</t>
  </si>
  <si>
    <t>FAB-Z-134-1</t>
  </si>
  <si>
    <t>FAB-Z-134-2</t>
  </si>
  <si>
    <t>FAB-Z-135</t>
  </si>
  <si>
    <t>FAB-Z-136-BG</t>
  </si>
  <si>
    <t>FAB-Z-137-1</t>
  </si>
  <si>
    <t>FAB-Z-137-2</t>
  </si>
  <si>
    <t>FAB-Z-138</t>
  </si>
  <si>
    <t>FAB-Z-140-1-BG</t>
  </si>
  <si>
    <t>FAB-Z-140-2</t>
  </si>
  <si>
    <t>FAB-Z-141-BG</t>
  </si>
  <si>
    <t>FAB-Z-142-BG</t>
  </si>
  <si>
    <t>FAB-Z-143-BG</t>
  </si>
  <si>
    <t>FAB-Z-144-BG</t>
  </si>
  <si>
    <t>FAB-Z-145</t>
  </si>
  <si>
    <t>FAB-Z-146-BG</t>
  </si>
  <si>
    <t>FAB-Z-147-BG</t>
  </si>
  <si>
    <t>FAB-Z-148-BG</t>
  </si>
  <si>
    <t>FAB-Z-149-BG</t>
  </si>
  <si>
    <t>FAB-Z-150-BG</t>
  </si>
  <si>
    <t>FAB-Z-151-BG</t>
  </si>
  <si>
    <t>FAB-Z-152-BG</t>
  </si>
  <si>
    <t>FAB-Z-153-BG</t>
  </si>
  <si>
    <t>FAB-Z-157</t>
  </si>
  <si>
    <t>FAB-Z-158-BG</t>
  </si>
  <si>
    <t>FAB-Z-159-1</t>
  </si>
  <si>
    <t>FAB-Z-159-2</t>
  </si>
  <si>
    <t>FAB-Z-160</t>
  </si>
  <si>
    <t>FAB-Z-161-BG</t>
  </si>
  <si>
    <t>FAB-Z-162-BG</t>
  </si>
  <si>
    <t>FAB-Z-163-BG</t>
  </si>
  <si>
    <t>FAB-Z-164-BG</t>
  </si>
  <si>
    <t>FAB-Z-165-BG</t>
  </si>
  <si>
    <t>FAB-Z-166-BG</t>
  </si>
  <si>
    <t>FAB-Z-167-BG</t>
  </si>
  <si>
    <t>Klinik für Frauenheilkunde und Geburtshilfe, Universitätsklinikum Düsseldorf</t>
  </si>
  <si>
    <t>FAB-Z-168</t>
  </si>
  <si>
    <t>FAB-Z-169</t>
  </si>
  <si>
    <t>FAB-Z-170</t>
  </si>
  <si>
    <t>FAB-Z-171-BG</t>
  </si>
  <si>
    <t>FAB-Z-172-BG</t>
  </si>
  <si>
    <t>FAB-Z-174</t>
  </si>
  <si>
    <t>FAB-Z-175-BG</t>
  </si>
  <si>
    <t>FAB-Z-176-BG</t>
  </si>
  <si>
    <t>FAB-Z-177</t>
  </si>
  <si>
    <t>FAB-Z-178-BG</t>
  </si>
  <si>
    <t>FAB-Z-179</t>
  </si>
  <si>
    <t>FAB-Z-180-BG</t>
  </si>
  <si>
    <t>FAB-Z-181</t>
  </si>
  <si>
    <t>FAB-Z-183</t>
  </si>
  <si>
    <t>FAB-Z-184</t>
  </si>
  <si>
    <t>FAB-Z-185-BG</t>
  </si>
  <si>
    <t>FAB-Z-186</t>
  </si>
  <si>
    <t>FAB-Z-187</t>
  </si>
  <si>
    <t>FAB-Z-188-BG</t>
  </si>
  <si>
    <t>Brustkrebszentrum Klinikum Dritter Orden München-Nymphenburg</t>
  </si>
  <si>
    <t>FAB-Z-190-BG</t>
  </si>
  <si>
    <t>FAB-Z-191-1</t>
  </si>
  <si>
    <t>FAB-Z-191-2</t>
  </si>
  <si>
    <t>FAB-Z-192-BG</t>
  </si>
  <si>
    <t>FAB-Z-193-BG</t>
  </si>
  <si>
    <t>FAB-Z-194-1</t>
  </si>
  <si>
    <t>FAB-Z-194-2</t>
  </si>
  <si>
    <t>FAB-Z-198</t>
  </si>
  <si>
    <t>FAB-Z-200</t>
  </si>
  <si>
    <t>FAB-Z-201-BG</t>
  </si>
  <si>
    <t>FAB-Z-203-BG</t>
  </si>
  <si>
    <t>FAB-Z-204</t>
  </si>
  <si>
    <t>FAB-Z-205-1</t>
  </si>
  <si>
    <t>FAB-Z-205-2</t>
  </si>
  <si>
    <t>FAB-Z-207</t>
  </si>
  <si>
    <t>FAB-Z-209</t>
  </si>
  <si>
    <t>FAB-Z-210</t>
  </si>
  <si>
    <t>FAB-Z-211-BG</t>
  </si>
  <si>
    <t>FAB-Z-212-BG</t>
  </si>
  <si>
    <t>FAB-Z-213</t>
  </si>
  <si>
    <t>FAB-Z-214-BG</t>
  </si>
  <si>
    <t>FAB-Z-215</t>
  </si>
  <si>
    <t>FAB-Z-218</t>
  </si>
  <si>
    <t>FAB-Z-219-BG</t>
  </si>
  <si>
    <t>FAB-Z-220</t>
  </si>
  <si>
    <t>FAB-Z-222</t>
  </si>
  <si>
    <t>FAB-Z-223</t>
  </si>
  <si>
    <t>FAB-Z-224-BG</t>
  </si>
  <si>
    <t>FAB-Z-225-BG</t>
  </si>
  <si>
    <t>FAB-Z-227</t>
  </si>
  <si>
    <t>FAB-Z-228</t>
  </si>
  <si>
    <t>FAB-Z-229-BG</t>
  </si>
  <si>
    <t>FAB-Z-230-BG</t>
  </si>
  <si>
    <t>FAB-Z-231-BG</t>
  </si>
  <si>
    <t>FAB-Z-233</t>
  </si>
  <si>
    <t>FAB-Z-234-BG</t>
  </si>
  <si>
    <t>FAB-Z-235</t>
  </si>
  <si>
    <t>FAB-Z-236-BG</t>
  </si>
  <si>
    <t>FAB-Z-237-BG</t>
  </si>
  <si>
    <t>FAB-Z-238-BG</t>
  </si>
  <si>
    <t>FAB-Z-239</t>
  </si>
  <si>
    <t>FAB-Z-240-BG</t>
  </si>
  <si>
    <t>FAB-Z-241-BG</t>
  </si>
  <si>
    <t>FAB-Z-243</t>
  </si>
  <si>
    <t>FAB-Z-244-BG</t>
  </si>
  <si>
    <t>FAB-Z-245</t>
  </si>
  <si>
    <t>FAB-Z-246</t>
  </si>
  <si>
    <t>FAB-Z-247-BG</t>
  </si>
  <si>
    <t>FAB-Z-248-BG</t>
  </si>
  <si>
    <t>FAB-Z-249</t>
  </si>
  <si>
    <t>FAB-Z-251-BG</t>
  </si>
  <si>
    <t>FAB-Z-252</t>
  </si>
  <si>
    <t>FAB-Z-253-BG</t>
  </si>
  <si>
    <t>FAB-Z-254-1-BG</t>
  </si>
  <si>
    <t>FAB-Z-254-2</t>
  </si>
  <si>
    <t>FAB-Z-255-BG</t>
  </si>
  <si>
    <t>FAB-Z-257-BG</t>
  </si>
  <si>
    <t>FAB-Z-258-BG</t>
  </si>
  <si>
    <t>FAB-Z-259-BG</t>
  </si>
  <si>
    <t>FAB-Z-260-BG</t>
  </si>
  <si>
    <t>FAB-Z-261</t>
  </si>
  <si>
    <t>FAB-Z-262-BG</t>
  </si>
  <si>
    <t>FAB-Z-263</t>
  </si>
  <si>
    <t>FAB-Z-265-BG</t>
  </si>
  <si>
    <t>FAB-Z-267-BG</t>
  </si>
  <si>
    <t>FAB-Z-268</t>
  </si>
  <si>
    <t>FAB-Z-269-BG</t>
  </si>
  <si>
    <t>FAB-Z-271-BG</t>
  </si>
  <si>
    <t>FAB-Z-272</t>
  </si>
  <si>
    <t>FAB-Z-273-BG</t>
  </si>
  <si>
    <t>FAB-Z-274</t>
  </si>
  <si>
    <t>FAB-Z-275</t>
  </si>
  <si>
    <t>FAB-Z-277</t>
  </si>
  <si>
    <t>FAB-Z-278-1-BG</t>
  </si>
  <si>
    <t>FAB-Z-278-2</t>
  </si>
  <si>
    <t>FAB-Z-279-BG</t>
  </si>
  <si>
    <t>FAB-Z-280-BG</t>
  </si>
  <si>
    <t>FAB-Z-282</t>
  </si>
  <si>
    <t>FAB-Z-284</t>
  </si>
  <si>
    <t>FAB-Z-285</t>
  </si>
  <si>
    <t>FAB-Z-286-BG</t>
  </si>
  <si>
    <t>FAB-Z-287</t>
  </si>
  <si>
    <t>FAB-Z-288-BG</t>
  </si>
  <si>
    <t>FAB-Z-289</t>
  </si>
  <si>
    <t>FAB-Z-290</t>
  </si>
  <si>
    <t>FAB-Z-291</t>
  </si>
  <si>
    <t>FAB-Z-292</t>
  </si>
  <si>
    <t>FAB-Z-293</t>
  </si>
  <si>
    <t>FAB-Z-294-BG</t>
  </si>
  <si>
    <t>FAB-Z-296</t>
  </si>
  <si>
    <t>FAB-Z-298-1</t>
  </si>
  <si>
    <t>FAB-Z-298-2</t>
  </si>
  <si>
    <t>FAB-Z-299-BG</t>
  </si>
  <si>
    <t>FAB-Z-300-BG</t>
  </si>
  <si>
    <t>FAB-Z-301-BG</t>
  </si>
  <si>
    <t>FAB-Z-302</t>
  </si>
  <si>
    <t>FAB-Z-303</t>
  </si>
  <si>
    <t>FAB-Z-304</t>
  </si>
  <si>
    <t>FAB-Z-305</t>
  </si>
  <si>
    <t>FAB-Z-306</t>
  </si>
  <si>
    <t>FAB-Z-307</t>
  </si>
  <si>
    <t>FAB-Z-308</t>
  </si>
  <si>
    <t>FAB-Z-310</t>
  </si>
  <si>
    <t>NRW-Z-001</t>
  </si>
  <si>
    <t>NRW-Z-002</t>
  </si>
  <si>
    <t>NRW-Z-003</t>
  </si>
  <si>
    <t>NRW-Z-004</t>
  </si>
  <si>
    <t>NRW-Z-006</t>
  </si>
  <si>
    <t>NRW-Z-008</t>
  </si>
  <si>
    <t>NRW-Z-009</t>
  </si>
  <si>
    <t>NRW-Z-010</t>
  </si>
  <si>
    <t>NRW-Z-011-1</t>
  </si>
  <si>
    <t>NRW-Z-011-2</t>
  </si>
  <si>
    <t>NRW-Z-013</t>
  </si>
  <si>
    <t>NRW-Z-014</t>
  </si>
  <si>
    <t>NRW-Z-015</t>
  </si>
  <si>
    <t>NRW-Z-018-1</t>
  </si>
  <si>
    <t>NRW-Z-018-2</t>
  </si>
  <si>
    <t>NRW-Z-019</t>
  </si>
  <si>
    <t>NRW-Z-020</t>
  </si>
  <si>
    <t>NRW-Z-022</t>
  </si>
  <si>
    <t>NRW-Z-023</t>
  </si>
  <si>
    <t>NRW-Z-024</t>
  </si>
  <si>
    <t>NRW-Z-025</t>
  </si>
  <si>
    <t>NRW-Z-012</t>
  </si>
  <si>
    <t>NRW-Z-026</t>
  </si>
  <si>
    <t>NRW-Z-027</t>
  </si>
  <si>
    <t>NRW-Z-028</t>
  </si>
  <si>
    <t>Stand: 06.11.2024</t>
  </si>
  <si>
    <r>
      <rPr>
        <u/>
        <sz val="8"/>
        <color theme="1"/>
        <rFont val="Arial"/>
        <family val="2"/>
      </rPr>
      <t>Bearbeitungshinweis:</t>
    </r>
    <r>
      <rPr>
        <sz val="8"/>
        <color theme="1"/>
        <rFont val="Arial"/>
        <family val="2"/>
      </rPr>
      <t xml:space="preserve"> Sofern die Operateure keine Operationen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</si>
</sst>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0.000%"/>
    <numFmt numFmtId="167" formatCode="[$-409]d\-mmm\-yy;@"/>
    <numFmt numFmtId="168" formatCode="###0"/>
  </numFmts>
  <fonts count="158"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0"/>
      <color indexed="9"/>
      <name val="Arial"/>
      <family val="2"/>
    </font>
    <font>
      <vertAlign val="superscript"/>
      <sz val="8"/>
      <color indexed="8"/>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sz val="8"/>
      <color indexed="8"/>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sz val="11"/>
      <color indexed="23"/>
      <name val="Arial"/>
      <family val="2"/>
    </font>
    <font>
      <sz val="11"/>
      <color indexed="8"/>
      <name val="Arial"/>
      <family val="2"/>
    </font>
    <font>
      <sz val="8"/>
      <color indexed="9"/>
      <name val="Arial"/>
      <family val="2"/>
    </font>
    <font>
      <sz val="11"/>
      <name val="Calibri"/>
      <family val="2"/>
    </font>
    <font>
      <b/>
      <sz val="9"/>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10"/>
      <name val="Arial"/>
      <family val="2"/>
    </font>
    <font>
      <b/>
      <sz val="8"/>
      <color indexed="8"/>
      <name val="Calibri"/>
      <family val="2"/>
    </font>
    <font>
      <sz val="8"/>
      <name val="Arial Narrow"/>
      <family val="2"/>
    </font>
    <font>
      <sz val="8"/>
      <color indexed="8"/>
      <name val="Arial Narrow"/>
      <family val="2"/>
    </font>
    <font>
      <b/>
      <sz val="8"/>
      <color indexed="8"/>
      <name val="Arial Narrow"/>
      <family val="2"/>
    </font>
    <font>
      <b/>
      <vertAlign val="superscript"/>
      <sz val="8"/>
      <name val="Arial"/>
      <family val="2"/>
    </font>
    <font>
      <strike/>
      <sz val="8"/>
      <color indexed="53"/>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9"/>
      <color indexed="8"/>
      <name val="Arial"/>
      <family val="2"/>
    </font>
    <font>
      <sz val="10"/>
      <color indexed="8"/>
      <name val="Arial"/>
      <family val="2"/>
    </font>
    <font>
      <b/>
      <sz val="10"/>
      <color indexed="8"/>
      <name val="Arial"/>
      <family val="2"/>
    </font>
    <font>
      <b/>
      <sz val="8"/>
      <color indexed="8"/>
      <name val="Arial"/>
      <family val="2"/>
    </font>
    <font>
      <b/>
      <sz val="9"/>
      <color indexed="8"/>
      <name val="Arial"/>
      <family val="2"/>
    </font>
    <font>
      <sz val="8"/>
      <color indexed="8"/>
      <name val="Arial Narrow"/>
      <family val="2"/>
    </font>
    <font>
      <b/>
      <sz val="8"/>
      <color indexed="8"/>
      <name val="Arial Narrow"/>
      <family val="2"/>
    </font>
    <font>
      <sz val="11"/>
      <name val="Calibri"/>
      <family val="2"/>
    </font>
    <font>
      <sz val="8"/>
      <name val="Arial Black"/>
      <family val="2"/>
    </font>
    <font>
      <vertAlign val="superscript"/>
      <sz val="8"/>
      <name val="Arial Black"/>
      <family val="2"/>
    </font>
    <font>
      <sz val="11"/>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name val="Calibri"/>
      <family val="2"/>
      <scheme val="minor"/>
    </font>
    <font>
      <b/>
      <sz val="9"/>
      <color indexed="81"/>
      <name val="Arial"/>
      <family val="2"/>
    </font>
    <font>
      <sz val="8"/>
      <color rgb="FFFF0000"/>
      <name val="Arial"/>
      <family val="2"/>
    </font>
    <font>
      <vertAlign val="superscript"/>
      <sz val="9"/>
      <name val="Arial"/>
      <family val="2"/>
    </font>
    <font>
      <strike/>
      <sz val="8"/>
      <color rgb="FFFF0000"/>
      <name val="Arial Narrow"/>
      <family val="2"/>
    </font>
    <font>
      <sz val="8"/>
      <color theme="1"/>
      <name val="Arial"/>
      <family val="2"/>
    </font>
    <font>
      <sz val="6"/>
      <color theme="1"/>
      <name val="Arial"/>
      <family val="2"/>
    </font>
    <font>
      <sz val="11"/>
      <color theme="1"/>
      <name val="Calibri"/>
      <family val="2"/>
    </font>
    <font>
      <sz val="8"/>
      <color theme="1"/>
      <name val="Arial Narrow"/>
      <family val="2"/>
    </font>
    <font>
      <b/>
      <sz val="8"/>
      <color theme="1"/>
      <name val="Arial"/>
      <family val="2"/>
    </font>
    <font>
      <vertAlign val="superscript"/>
      <sz val="8"/>
      <color theme="1"/>
      <name val="Arial"/>
      <family val="2"/>
    </font>
    <font>
      <sz val="11"/>
      <color indexed="8"/>
      <name val="Arial"/>
      <family val="2"/>
    </font>
    <font>
      <sz val="10"/>
      <color indexed="8"/>
      <name val="Arial"/>
      <family val="2"/>
    </font>
    <font>
      <b/>
      <sz val="13"/>
      <color indexed="8"/>
      <name val="Arial"/>
      <family val="2"/>
    </font>
    <font>
      <sz val="9"/>
      <name val="Arial"/>
      <family val="2"/>
    </font>
    <font>
      <b/>
      <sz val="9"/>
      <name val="Arial"/>
      <family val="2"/>
    </font>
    <font>
      <b/>
      <sz val="10"/>
      <name val="Arial"/>
      <family val="2"/>
    </font>
    <font>
      <sz val="9"/>
      <color indexed="8"/>
      <name val="Arial"/>
      <family val="2"/>
    </font>
    <font>
      <b/>
      <sz val="9"/>
      <color indexed="8"/>
      <name val="Arial"/>
      <family val="2"/>
    </font>
    <font>
      <sz val="11"/>
      <color theme="1"/>
      <name val="Calibri"/>
      <family val="2"/>
      <scheme val="minor"/>
    </font>
    <font>
      <sz val="8"/>
      <color indexed="8"/>
      <name val="Arial"/>
      <family val="2"/>
    </font>
    <font>
      <b/>
      <sz val="8"/>
      <name val="Arial"/>
      <family val="2"/>
    </font>
    <font>
      <b/>
      <sz val="11"/>
      <name val="Calibri"/>
      <family val="2"/>
    </font>
    <font>
      <sz val="11"/>
      <name val="Calibri"/>
      <family val="2"/>
    </font>
    <font>
      <sz val="8"/>
      <name val="Arial"/>
      <family val="2"/>
    </font>
    <font>
      <sz val="11"/>
      <color indexed="23"/>
      <name val="Calibri"/>
      <family val="2"/>
    </font>
    <font>
      <b/>
      <sz val="8"/>
      <color indexed="8"/>
      <name val="Arial"/>
      <family val="2"/>
    </font>
    <font>
      <sz val="8"/>
      <color indexed="8"/>
      <name val="Arial"/>
      <family val="2"/>
    </font>
    <font>
      <sz val="8"/>
      <color indexed="9"/>
      <name val="Arial"/>
      <family val="2"/>
    </font>
    <font>
      <sz val="8"/>
      <name val="Arial"/>
      <family val="2"/>
    </font>
    <font>
      <sz val="11"/>
      <color theme="1"/>
      <name val="Arial"/>
      <family val="2"/>
    </font>
    <font>
      <b/>
      <sz val="11"/>
      <color theme="1"/>
      <name val="Arial"/>
      <family val="2"/>
    </font>
    <font>
      <vertAlign val="superscript"/>
      <sz val="11"/>
      <color theme="1"/>
      <name val="Arial"/>
      <family val="2"/>
    </font>
    <font>
      <b/>
      <sz val="12"/>
      <color indexed="8"/>
      <name val="Arial"/>
      <family val="2"/>
    </font>
    <font>
      <sz val="8"/>
      <color indexed="55"/>
      <name val="Arial"/>
      <family val="2"/>
    </font>
    <font>
      <b/>
      <sz val="9"/>
      <color indexed="53"/>
      <name val="Arial"/>
      <family val="2"/>
    </font>
    <font>
      <b/>
      <vertAlign val="superscript"/>
      <sz val="9"/>
      <color theme="1"/>
      <name val="Arial"/>
      <family val="2"/>
    </font>
    <font>
      <sz val="9"/>
      <color theme="1"/>
      <name val="Arial"/>
      <family val="2"/>
    </font>
    <font>
      <sz val="11"/>
      <color rgb="FFFF0000"/>
      <name val="Arial"/>
      <family val="2"/>
    </font>
    <font>
      <vertAlign val="superscript"/>
      <sz val="11"/>
      <color theme="1"/>
      <name val="Calibri"/>
      <family val="2"/>
      <scheme val="minor"/>
    </font>
    <font>
      <b/>
      <u/>
      <sz val="8"/>
      <name val="Arial"/>
      <family val="2"/>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vertAlign val="superscript"/>
      <sz val="9"/>
      <name val="Arial"/>
      <family val="2"/>
    </font>
    <font>
      <b/>
      <sz val="8"/>
      <color rgb="FF000000"/>
      <name val="Arial"/>
      <family val="2"/>
    </font>
    <font>
      <b/>
      <sz val="12"/>
      <name val="Arial"/>
      <family val="2"/>
    </font>
    <font>
      <sz val="8.5"/>
      <name val="Arial"/>
      <family val="2"/>
    </font>
    <font>
      <u/>
      <sz val="8.5"/>
      <name val="Arial"/>
      <family val="2"/>
    </font>
    <font>
      <sz val="8"/>
      <name val="Calibri"/>
      <family val="2"/>
      <scheme val="minor"/>
    </font>
    <font>
      <sz val="10"/>
      <color theme="1"/>
      <name val="Arial"/>
      <family val="2"/>
    </font>
    <font>
      <u/>
      <sz val="8"/>
      <color theme="1"/>
      <name val="Arial"/>
      <family val="2"/>
    </font>
  </fonts>
  <fills count="92">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44"/>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80808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5"/>
      </patternFill>
    </fill>
    <fill>
      <patternFill patternType="solid">
        <fgColor rgb="FFDCE6F1"/>
        <bgColor indexed="64"/>
      </patternFill>
    </fill>
    <fill>
      <patternFill patternType="solid">
        <fgColor rgb="FFC0C0C0"/>
        <bgColor indexed="64"/>
      </patternFill>
    </fill>
    <fill>
      <patternFill patternType="solid">
        <fgColor rgb="FFDCE6F1"/>
        <bgColor indexed="9"/>
      </patternFill>
    </fill>
  </fills>
  <borders count="88">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1101">
    <xf numFmtId="0" fontId="0" fillId="0" borderId="0"/>
    <xf numFmtId="0" fontId="85" fillId="2" borderId="0" applyNumberFormat="0" applyBorder="0" applyAlignment="0" applyProtection="0"/>
    <xf numFmtId="0" fontId="85" fillId="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3"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3" borderId="0" applyNumberFormat="0" applyBorder="0" applyAlignment="0" applyProtection="0"/>
    <xf numFmtId="0" fontId="85"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5" fillId="4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5"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6" fillId="54" borderId="0" applyNumberFormat="0" applyBorder="0" applyAlignment="0" applyProtection="0"/>
    <xf numFmtId="0" fontId="86" fillId="54" borderId="0" applyNumberFormat="0" applyBorder="0" applyAlignment="0" applyProtection="0"/>
    <xf numFmtId="0" fontId="86" fillId="3" borderId="0" applyNumberFormat="0" applyBorder="0" applyAlignment="0" applyProtection="0"/>
    <xf numFmtId="0" fontId="86" fillId="4"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86" fillId="55"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86" fillId="5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3" borderId="0" applyNumberFormat="0" applyBorder="0" applyAlignment="0" applyProtection="0"/>
    <xf numFmtId="0" fontId="86" fillId="4"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86" fillId="60"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1" borderId="0" applyNumberFormat="0" applyBorder="0" applyAlignment="0" applyProtection="0"/>
    <xf numFmtId="0" fontId="50" fillId="23"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50" fillId="24" borderId="0" applyNumberFormat="0" applyBorder="0" applyAlignment="0" applyProtection="0"/>
    <xf numFmtId="0" fontId="50" fillId="18" borderId="0" applyNumberFormat="0" applyBorder="0" applyAlignment="0" applyProtection="0"/>
    <xf numFmtId="0" fontId="86" fillId="62"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7" fillId="15" borderId="72" applyNumberFormat="0" applyAlignment="0" applyProtection="0"/>
    <xf numFmtId="0" fontId="87" fillId="15" borderId="72" applyNumberFormat="0" applyAlignment="0" applyProtection="0"/>
    <xf numFmtId="0" fontId="87" fillId="15" borderId="72" applyNumberFormat="0" applyAlignment="0" applyProtection="0"/>
    <xf numFmtId="0" fontId="67" fillId="15" borderId="2" applyNumberFormat="0" applyAlignment="0" applyProtection="0"/>
    <xf numFmtId="0" fontId="87" fillId="65" borderId="72" applyNumberFormat="0" applyAlignment="0" applyProtection="0"/>
    <xf numFmtId="0" fontId="87" fillId="65" borderId="72" applyNumberFormat="0" applyAlignment="0" applyProtection="0"/>
    <xf numFmtId="0" fontId="87" fillId="10" borderId="72" applyNumberFormat="0" applyAlignment="0" applyProtection="0"/>
    <xf numFmtId="0" fontId="67" fillId="10" borderId="2" applyNumberFormat="0" applyAlignment="0" applyProtection="0"/>
    <xf numFmtId="0" fontId="87" fillId="15" borderId="72" applyNumberFormat="0" applyAlignment="0" applyProtection="0"/>
    <xf numFmtId="0" fontId="67" fillId="10" borderId="2" applyNumberFormat="0" applyAlignment="0" applyProtection="0"/>
    <xf numFmtId="0" fontId="87" fillId="15" borderId="72" applyNumberFormat="0" applyAlignment="0" applyProtection="0"/>
    <xf numFmtId="0" fontId="87" fillId="15" borderId="72" applyNumberFormat="0" applyAlignment="0" applyProtection="0"/>
    <xf numFmtId="0" fontId="67" fillId="15" borderId="2"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87" fillId="15" borderId="72" applyNumberFormat="0" applyAlignment="0" applyProtection="0"/>
    <xf numFmtId="0" fontId="51" fillId="15" borderId="1" applyNumberFormat="0" applyAlignment="0" applyProtection="0"/>
    <xf numFmtId="0" fontId="67" fillId="15" borderId="2" applyNumberFormat="0" applyAlignment="0" applyProtection="0"/>
    <xf numFmtId="0" fontId="87" fillId="15" borderId="72" applyNumberFormat="0" applyAlignment="0" applyProtection="0"/>
    <xf numFmtId="0" fontId="87" fillId="15" borderId="72" applyNumberFormat="0" applyAlignment="0" applyProtection="0"/>
    <xf numFmtId="0" fontId="87" fillId="15" borderId="72" applyNumberFormat="0" applyAlignment="0" applyProtection="0"/>
    <xf numFmtId="0" fontId="51" fillId="15" borderId="1" applyNumberFormat="0" applyAlignment="0" applyProtection="0"/>
    <xf numFmtId="0" fontId="56" fillId="5" borderId="0" applyNumberFormat="0" applyBorder="0" applyAlignment="0" applyProtection="0"/>
    <xf numFmtId="0" fontId="89" fillId="15" borderId="73" applyNumberFormat="0" applyAlignment="0" applyProtection="0"/>
    <xf numFmtId="0" fontId="89" fillId="15" borderId="73" applyNumberFormat="0" applyAlignment="0" applyProtection="0"/>
    <xf numFmtId="0" fontId="89" fillId="65" borderId="73" applyNumberFormat="0" applyAlignment="0" applyProtection="0"/>
    <xf numFmtId="0" fontId="89" fillId="65" borderId="73" applyNumberFormat="0" applyAlignment="0" applyProtection="0"/>
    <xf numFmtId="0" fontId="89" fillId="10" borderId="73" applyNumberFormat="0" applyAlignment="0" applyProtection="0"/>
    <xf numFmtId="0" fontId="89" fillId="10" borderId="73" applyNumberFormat="0" applyAlignment="0" applyProtection="0"/>
    <xf numFmtId="0" fontId="89" fillId="10" borderId="73" applyNumberFormat="0" applyAlignment="0" applyProtection="0"/>
    <xf numFmtId="0" fontId="89" fillId="15" borderId="73" applyNumberFormat="0" applyAlignment="0" applyProtection="0"/>
    <xf numFmtId="0" fontId="52" fillId="15" borderId="3" applyNumberFormat="0" applyAlignment="0" applyProtection="0"/>
    <xf numFmtId="0" fontId="52" fillId="15" borderId="3" applyNumberFormat="0" applyAlignment="0" applyProtection="0"/>
    <xf numFmtId="0" fontId="52" fillId="15" borderId="3" applyNumberFormat="0" applyAlignment="0" applyProtection="0"/>
    <xf numFmtId="0" fontId="89" fillId="15" borderId="73" applyNumberFormat="0" applyAlignment="0" applyProtection="0"/>
    <xf numFmtId="0" fontId="52" fillId="15" borderId="3" applyNumberFormat="0" applyAlignment="0" applyProtection="0"/>
    <xf numFmtId="0" fontId="89" fillId="15" borderId="73" applyNumberFormat="0" applyAlignment="0" applyProtection="0"/>
    <xf numFmtId="0" fontId="52" fillId="15" borderId="3" applyNumberFormat="0" applyAlignment="0" applyProtection="0"/>
    <xf numFmtId="0" fontId="52" fillId="15" borderId="3" applyNumberFormat="0" applyAlignment="0" applyProtection="0"/>
    <xf numFmtId="0" fontId="58" fillId="26" borderId="4" applyNumberFormat="0" applyAlignment="0" applyProtection="0"/>
    <xf numFmtId="0" fontId="90" fillId="67" borderId="74" applyNumberFormat="0" applyAlignment="0" applyProtection="0"/>
    <xf numFmtId="0" fontId="90" fillId="67" borderId="5" applyNumberFormat="0" applyAlignment="0" applyProtection="0"/>
    <xf numFmtId="43" fontId="49" fillId="0" borderId="0" applyFont="0" applyFill="0" applyBorder="0" applyAlignment="0" applyProtection="0"/>
    <xf numFmtId="0" fontId="91" fillId="68" borderId="7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75" applyNumberFormat="0" applyFill="0" applyAlignment="0" applyProtection="0"/>
    <xf numFmtId="0" fontId="92" fillId="0" borderId="75" applyNumberFormat="0" applyFill="0" applyAlignment="0" applyProtection="0"/>
    <xf numFmtId="0" fontId="92" fillId="0" borderId="7" applyNumberFormat="0" applyFill="0" applyAlignment="0" applyProtection="0"/>
    <xf numFmtId="0" fontId="92" fillId="0" borderId="7" applyNumberFormat="0" applyFill="0" applyAlignment="0" applyProtection="0"/>
    <xf numFmtId="0" fontId="92" fillId="0" borderId="7"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92"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92" fillId="0" borderId="6" applyNumberFormat="0" applyFill="0" applyAlignment="0" applyProtection="0"/>
    <xf numFmtId="0" fontId="14" fillId="0" borderId="6" applyNumberFormat="0" applyFill="0" applyAlignment="0" applyProtection="0"/>
    <xf numFmtId="0" fontId="92" fillId="0" borderId="6" applyNumberFormat="0" applyFill="0" applyAlignment="0" applyProtection="0"/>
    <xf numFmtId="0" fontId="14" fillId="0" borderId="6" applyNumberFormat="0" applyFill="0" applyAlignment="0" applyProtection="0"/>
    <xf numFmtId="0" fontId="9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7" borderId="0" applyNumberFormat="0" applyBorder="0" applyAlignment="0" applyProtection="0"/>
    <xf numFmtId="0" fontId="94" fillId="69" borderId="0" applyNumberFormat="0" applyBorder="0" applyAlignment="0" applyProtection="0"/>
    <xf numFmtId="0" fontId="94" fillId="69" borderId="0" applyNumberFormat="0" applyBorder="0" applyAlignment="0" applyProtection="0"/>
    <xf numFmtId="0" fontId="94" fillId="69" borderId="0" applyNumberFormat="0" applyBorder="0" applyAlignment="0" applyProtection="0"/>
    <xf numFmtId="0" fontId="95" fillId="0" borderId="76" applyNumberFormat="0" applyFill="0" applyAlignment="0" applyProtection="0"/>
    <xf numFmtId="0" fontId="68" fillId="0" borderId="8" applyNumberFormat="0" applyFill="0" applyAlignment="0" applyProtection="0"/>
    <xf numFmtId="0" fontId="68" fillId="0" borderId="8" applyNumberFormat="0" applyFill="0" applyAlignment="0" applyProtection="0"/>
    <xf numFmtId="0" fontId="39" fillId="0" borderId="9" applyNumberFormat="0" applyFill="0" applyAlignment="0" applyProtection="0"/>
    <xf numFmtId="0" fontId="96" fillId="0" borderId="77" applyNumberFormat="0" applyFill="0" applyAlignment="0" applyProtection="0"/>
    <xf numFmtId="0" fontId="69" fillId="0" borderId="10" applyNumberFormat="0" applyFill="0" applyAlignment="0" applyProtection="0"/>
    <xf numFmtId="0" fontId="69" fillId="0" borderId="11" applyNumberFormat="0" applyFill="0" applyAlignment="0" applyProtection="0"/>
    <xf numFmtId="0" fontId="42" fillId="0" borderId="12" applyNumberFormat="0" applyFill="0" applyAlignment="0" applyProtection="0"/>
    <xf numFmtId="0" fontId="97" fillId="0" borderId="78" applyNumberFormat="0" applyFill="0" applyAlignment="0" applyProtection="0"/>
    <xf numFmtId="0" fontId="70" fillId="0" borderId="13" applyNumberFormat="0" applyFill="0" applyAlignment="0" applyProtection="0"/>
    <xf numFmtId="0" fontId="70" fillId="0" borderId="14" applyNumberFormat="0" applyFill="0" applyAlignment="0" applyProtection="0"/>
    <xf numFmtId="0" fontId="40" fillId="0" borderId="15"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40" fillId="0" borderId="0" applyNumberFormat="0" applyFill="0" applyBorder="0" applyAlignment="0" applyProtection="0"/>
    <xf numFmtId="0" fontId="53" fillId="6" borderId="3" applyNumberFormat="0" applyAlignment="0" applyProtection="0"/>
    <xf numFmtId="0" fontId="57" fillId="0" borderId="16" applyNumberFormat="0" applyFill="0" applyAlignment="0" applyProtection="0"/>
    <xf numFmtId="0" fontId="99" fillId="70" borderId="0" applyNumberFormat="0" applyBorder="0" applyAlignment="0" applyProtection="0"/>
    <xf numFmtId="0" fontId="85" fillId="0" borderId="0"/>
    <xf numFmtId="0" fontId="4" fillId="8" borderId="17" applyNumberFormat="0" applyFont="0" applyAlignment="0" applyProtection="0"/>
    <xf numFmtId="0" fontId="4" fillId="8" borderId="17"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6" fillId="71" borderId="80" applyNumberFormat="0" applyFont="0" applyAlignment="0" applyProtection="0"/>
    <xf numFmtId="0" fontId="13" fillId="71" borderId="80" applyNumberFormat="0" applyFont="0" applyAlignment="0" applyProtection="0"/>
    <xf numFmtId="0" fontId="13" fillId="71" borderId="80" applyNumberFormat="0" applyFont="0" applyAlignment="0" applyProtection="0"/>
    <xf numFmtId="0" fontId="35"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6"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6" fillId="71" borderId="80" applyNumberFormat="0" applyFont="0" applyAlignment="0" applyProtection="0"/>
    <xf numFmtId="0" fontId="66"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6"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35"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51" fillId="15" borderId="1" applyNumberFormat="0" applyAlignment="0" applyProtection="0"/>
    <xf numFmtId="9" fontId="13"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4" fillId="0" borderId="0"/>
    <xf numFmtId="0" fontId="85" fillId="0" borderId="0"/>
    <xf numFmtId="0" fontId="85" fillId="0" borderId="0"/>
    <xf numFmtId="0" fontId="100" fillId="0" borderId="0"/>
    <xf numFmtId="0" fontId="4" fillId="0" borderId="0"/>
    <xf numFmtId="0" fontId="85" fillId="0" borderId="0"/>
    <xf numFmtId="0" fontId="85" fillId="0" borderId="0"/>
    <xf numFmtId="0" fontId="100" fillId="0" borderId="0"/>
    <xf numFmtId="0" fontId="29"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0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85" fillId="0" borderId="0"/>
    <xf numFmtId="0" fontId="4" fillId="0" borderId="0"/>
    <xf numFmtId="0" fontId="4" fillId="0" borderId="0"/>
    <xf numFmtId="0" fontId="84" fillId="0" borderId="0"/>
    <xf numFmtId="0" fontId="47" fillId="0" borderId="0"/>
    <xf numFmtId="0" fontId="4" fillId="0" borderId="0"/>
    <xf numFmtId="0" fontId="4" fillId="0" borderId="0"/>
    <xf numFmtId="0" fontId="10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0" borderId="0" applyNumberFormat="0" applyFill="0" applyBorder="0" applyAlignment="0" applyProtection="0"/>
    <xf numFmtId="0" fontId="14" fillId="0" borderId="6" applyNumberFormat="0" applyFill="0" applyAlignment="0" applyProtection="0"/>
    <xf numFmtId="0" fontId="38" fillId="0" borderId="0" applyNumberFormat="0" applyFill="0" applyBorder="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8" fillId="0" borderId="79" applyNumberFormat="0" applyFill="0" applyAlignment="0" applyProtection="0"/>
    <xf numFmtId="0" fontId="98" fillId="0" borderId="79" applyNumberFormat="0" applyFill="0" applyAlignment="0" applyProtection="0"/>
    <xf numFmtId="0" fontId="98" fillId="0" borderId="7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02" fillId="0" borderId="0" applyNumberFormat="0" applyFill="0" applyBorder="0" applyAlignment="0" applyProtection="0"/>
    <xf numFmtId="0" fontId="7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0" fillId="67" borderId="74" applyNumberFormat="0" applyAlignment="0" applyProtection="0"/>
    <xf numFmtId="0" fontId="90" fillId="67" borderId="5" applyNumberFormat="0" applyAlignment="0" applyProtection="0"/>
    <xf numFmtId="0" fontId="90" fillId="67" borderId="74" applyNumberFormat="0" applyAlignment="0" applyProtection="0"/>
    <xf numFmtId="0" fontId="90" fillId="67" borderId="74" applyNumberFormat="0" applyAlignment="0" applyProtection="0"/>
    <xf numFmtId="0" fontId="90" fillId="67" borderId="5" applyNumberFormat="0" applyAlignment="0" applyProtection="0"/>
    <xf numFmtId="0" fontId="14" fillId="15" borderId="2" applyNumberFormat="0" applyAlignment="0" applyProtection="0"/>
    <xf numFmtId="0" fontId="14" fillId="10" borderId="2" applyNumberFormat="0" applyAlignment="0" applyProtection="0"/>
    <xf numFmtId="0" fontId="14" fillId="10" borderId="2" applyNumberFormat="0" applyAlignment="0" applyProtection="0"/>
    <xf numFmtId="0" fontId="14" fillId="15" borderId="2" applyNumberFormat="0" applyAlignment="0" applyProtection="0"/>
    <xf numFmtId="0" fontId="14" fillId="15" borderId="2" applyNumberFormat="0" applyAlignment="0" applyProtection="0"/>
    <xf numFmtId="43" fontId="1" fillId="0" borderId="0" applyFont="0" applyFill="0" applyBorder="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7" fillId="0" borderId="0"/>
    <xf numFmtId="9" fontId="85"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88"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19" borderId="0" applyNumberFormat="0" applyBorder="0" applyAlignment="0" applyProtection="0"/>
    <xf numFmtId="0" fontId="86" fillId="88" borderId="0" applyNumberFormat="0" applyBorder="0" applyAlignment="0" applyProtection="0"/>
    <xf numFmtId="0" fontId="86" fillId="25" borderId="0" applyNumberFormat="0" applyBorder="0" applyAlignment="0" applyProtection="0"/>
    <xf numFmtId="0" fontId="144" fillId="10" borderId="2" applyNumberFormat="0" applyAlignment="0" applyProtection="0"/>
    <xf numFmtId="0" fontId="144" fillId="15" borderId="2" applyNumberFormat="0" applyAlignment="0" applyProtection="0"/>
    <xf numFmtId="0" fontId="144" fillId="15" borderId="2" applyNumberFormat="0" applyAlignment="0" applyProtection="0"/>
    <xf numFmtId="0" fontId="144" fillId="10" borderId="2" applyNumberFormat="0" applyAlignment="0" applyProtection="0"/>
    <xf numFmtId="0" fontId="144" fillId="10" borderId="2" applyNumberFormat="0" applyAlignment="0" applyProtection="0"/>
    <xf numFmtId="0" fontId="144" fillId="15" borderId="2" applyNumberFormat="0" applyAlignment="0" applyProtection="0"/>
    <xf numFmtId="0" fontId="144" fillId="15" borderId="2" applyNumberFormat="0" applyAlignment="0" applyProtection="0"/>
    <xf numFmtId="0" fontId="144" fillId="15" borderId="2" applyNumberFormat="0" applyAlignment="0" applyProtection="0"/>
    <xf numFmtId="0" fontId="56" fillId="5" borderId="0" applyNumberFormat="0" applyBorder="0" applyAlignment="0" applyProtection="0"/>
    <xf numFmtId="0" fontId="58" fillId="26" borderId="4" applyNumberFormat="0" applyAlignment="0" applyProtection="0"/>
    <xf numFmtId="0" fontId="90" fillId="67" borderId="5" applyNumberFormat="0" applyAlignment="0" applyProtection="0"/>
    <xf numFmtId="0" fontId="90" fillId="67" borderId="74" applyNumberFormat="0" applyAlignment="0" applyProtection="0"/>
    <xf numFmtId="0" fontId="90" fillId="67" borderId="74" applyNumberFormat="0" applyAlignment="0" applyProtection="0"/>
    <xf numFmtId="0" fontId="90" fillId="67" borderId="4" applyNumberFormat="0" applyAlignment="0" applyProtection="0"/>
    <xf numFmtId="0" fontId="55" fillId="7" borderId="0" applyNumberFormat="0" applyBorder="0" applyAlignment="0" applyProtection="0"/>
    <xf numFmtId="0" fontId="145" fillId="0" borderId="8" applyNumberFormat="0" applyFill="0" applyAlignment="0" applyProtection="0"/>
    <xf numFmtId="0" fontId="145" fillId="0" borderId="8" applyNumberFormat="0" applyFill="0" applyAlignment="0" applyProtection="0"/>
    <xf numFmtId="0" fontId="145" fillId="0" borderId="8" applyNumberFormat="0" applyFill="0" applyAlignment="0" applyProtection="0"/>
    <xf numFmtId="0" fontId="95" fillId="0" borderId="76" applyNumberFormat="0" applyFill="0" applyAlignment="0" applyProtection="0"/>
    <xf numFmtId="0" fontId="95" fillId="0" borderId="76" applyNumberFormat="0" applyFill="0" applyAlignment="0" applyProtection="0"/>
    <xf numFmtId="0" fontId="146" fillId="0" borderId="11" applyNumberFormat="0" applyFill="0" applyAlignment="0" applyProtection="0"/>
    <xf numFmtId="0" fontId="146" fillId="0" borderId="11" applyNumberFormat="0" applyFill="0" applyAlignment="0" applyProtection="0"/>
    <xf numFmtId="0" fontId="146" fillId="0" borderId="10"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147" fillId="0" borderId="14" applyNumberFormat="0" applyFill="0" applyAlignment="0" applyProtection="0"/>
    <xf numFmtId="0" fontId="147" fillId="0" borderId="14" applyNumberFormat="0" applyFill="0" applyAlignment="0" applyProtection="0"/>
    <xf numFmtId="0" fontId="147" fillId="0" borderId="13" applyNumberFormat="0" applyFill="0" applyAlignment="0" applyProtection="0"/>
    <xf numFmtId="0" fontId="97" fillId="0" borderId="78" applyNumberFormat="0" applyFill="0" applyAlignment="0" applyProtection="0"/>
    <xf numFmtId="0" fontId="97" fillId="0" borderId="78"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7" fillId="0" borderId="16" applyNumberFormat="0" applyFill="0" applyAlignment="0" applyProtection="0"/>
    <xf numFmtId="0" fontId="1" fillId="71" borderId="80" applyNumberFormat="0" applyFont="0" applyAlignment="0" applyProtection="0"/>
    <xf numFmtId="0" fontId="85" fillId="71" borderId="80" applyNumberFormat="0" applyFont="0" applyAlignment="0" applyProtection="0"/>
    <xf numFmtId="0" fontId="1" fillId="71" borderId="80" applyNumberFormat="0" applyFont="0" applyAlignment="0" applyProtection="0"/>
    <xf numFmtId="0" fontId="85"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85" fillId="71" borderId="80" applyNumberFormat="0" applyFont="0" applyAlignment="0" applyProtection="0"/>
    <xf numFmtId="0" fontId="85" fillId="71" borderId="80" applyNumberFormat="0" applyFont="0" applyAlignment="0" applyProtection="0"/>
    <xf numFmtId="0" fontId="1" fillId="71" borderId="80" applyNumberFormat="0" applyFont="0" applyAlignment="0" applyProtection="0"/>
    <xf numFmtId="0" fontId="85" fillId="71" borderId="80" applyNumberFormat="0" applyFont="0" applyAlignment="0" applyProtection="0"/>
    <xf numFmtId="0" fontId="85"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9" fontId="85"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5" fillId="0" borderId="8" applyNumberFormat="0" applyFill="0" applyAlignment="0" applyProtection="0"/>
    <xf numFmtId="0" fontId="146" fillId="0" borderId="11" applyNumberFormat="0" applyFill="0" applyAlignment="0" applyProtection="0"/>
    <xf numFmtId="0" fontId="147" fillId="0" borderId="14" applyNumberFormat="0" applyFill="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90" fillId="67" borderId="5" applyNumberFormat="0" applyAlignment="0" applyProtection="0"/>
    <xf numFmtId="0" fontId="90" fillId="67" borderId="5" applyNumberFormat="0" applyAlignment="0" applyProtection="0"/>
    <xf numFmtId="0" fontId="90" fillId="67" borderId="74" applyNumberFormat="0" applyAlignment="0" applyProtection="0"/>
  </cellStyleXfs>
  <cellXfs count="932">
    <xf numFmtId="0" fontId="0" fillId="0" borderId="0" xfId="0"/>
    <xf numFmtId="0" fontId="20" fillId="0" borderId="0" xfId="0" applyFont="1"/>
    <xf numFmtId="0" fontId="24" fillId="0" borderId="0" xfId="0" applyFont="1"/>
    <xf numFmtId="0" fontId="20" fillId="27" borderId="0" xfId="0" applyFont="1" applyFill="1"/>
    <xf numFmtId="0" fontId="5" fillId="0" borderId="0" xfId="485" applyFont="1"/>
    <xf numFmtId="0" fontId="15" fillId="0" borderId="0" xfId="0" applyFont="1"/>
    <xf numFmtId="0" fontId="24" fillId="0" borderId="0" xfId="0" applyFont="1" applyAlignment="1">
      <alignment vertical="center"/>
    </xf>
    <xf numFmtId="0" fontId="20" fillId="0" borderId="0" xfId="0" applyFont="1" applyAlignment="1">
      <alignment horizontal="center"/>
    </xf>
    <xf numFmtId="0" fontId="20" fillId="0" borderId="0" xfId="0" applyFont="1" applyAlignment="1">
      <alignment horizontal="center" vertical="center"/>
    </xf>
    <xf numFmtId="0" fontId="4" fillId="0" borderId="0" xfId="0" applyFont="1"/>
    <xf numFmtId="0" fontId="22" fillId="0" borderId="0" xfId="0" applyFont="1"/>
    <xf numFmtId="0" fontId="15" fillId="0" borderId="18" xfId="0" applyFont="1" applyBorder="1" applyAlignment="1">
      <alignment vertical="center" wrapText="1"/>
    </xf>
    <xf numFmtId="0" fontId="6" fillId="0" borderId="0" xfId="0" applyFont="1"/>
    <xf numFmtId="0" fontId="7" fillId="0" borderId="0" xfId="0" applyFont="1"/>
    <xf numFmtId="0" fontId="4" fillId="0" borderId="0" xfId="485"/>
    <xf numFmtId="0" fontId="25" fillId="0" borderId="0" xfId="0" applyFont="1"/>
    <xf numFmtId="0" fontId="16" fillId="0" borderId="0" xfId="0" applyFont="1"/>
    <xf numFmtId="0" fontId="27" fillId="0" borderId="0" xfId="0" applyFont="1"/>
    <xf numFmtId="0" fontId="4" fillId="0" borderId="0" xfId="485" applyAlignment="1">
      <alignment horizontal="left"/>
    </xf>
    <xf numFmtId="0" fontId="17" fillId="0" borderId="0" xfId="0" applyFont="1"/>
    <xf numFmtId="0" fontId="19" fillId="0" borderId="0" xfId="485" applyFont="1"/>
    <xf numFmtId="0" fontId="5" fillId="0" borderId="0" xfId="485" applyFont="1" applyAlignment="1">
      <alignment horizontal="left"/>
    </xf>
    <xf numFmtId="0" fontId="19" fillId="0" borderId="0" xfId="485" applyFont="1" applyAlignment="1">
      <alignment vertical="center"/>
    </xf>
    <xf numFmtId="0" fontId="24" fillId="27" borderId="0" xfId="0" applyFont="1" applyFill="1"/>
    <xf numFmtId="0" fontId="4" fillId="0" borderId="0" xfId="485" applyAlignment="1">
      <alignment horizontal="center"/>
    </xf>
    <xf numFmtId="0" fontId="4" fillId="0" borderId="0" xfId="0" applyFont="1" applyAlignment="1">
      <alignment wrapText="1"/>
    </xf>
    <xf numFmtId="0" fontId="21" fillId="0" borderId="0" xfId="0" applyFont="1"/>
    <xf numFmtId="0" fontId="15" fillId="0" borderId="19" xfId="0" applyFont="1" applyBorder="1" applyAlignment="1">
      <alignment horizontal="center" vertical="center" wrapText="1"/>
    </xf>
    <xf numFmtId="0" fontId="15" fillId="0" borderId="0" xfId="0" applyFont="1" applyAlignment="1">
      <alignment vertical="center"/>
    </xf>
    <xf numFmtId="0" fontId="15" fillId="0" borderId="20" xfId="0" applyFont="1" applyBorder="1" applyAlignment="1">
      <alignment vertical="center" wrapText="1"/>
    </xf>
    <xf numFmtId="1" fontId="26" fillId="28" borderId="20" xfId="0" applyNumberFormat="1" applyFont="1" applyFill="1" applyBorder="1" applyAlignment="1">
      <alignment horizontal="center" vertical="center" wrapText="1"/>
    </xf>
    <xf numFmtId="14" fontId="30" fillId="28" borderId="19" xfId="0" applyNumberFormat="1" applyFont="1" applyFill="1" applyBorder="1" applyAlignment="1">
      <alignment horizontal="center" vertical="center"/>
    </xf>
    <xf numFmtId="0" fontId="12" fillId="28" borderId="19" xfId="485" applyFont="1" applyFill="1" applyBorder="1" applyAlignment="1">
      <alignment vertical="center"/>
    </xf>
    <xf numFmtId="164" fontId="19" fillId="29" borderId="21" xfId="397" applyNumberFormat="1" applyFont="1" applyFill="1" applyBorder="1" applyAlignment="1" applyProtection="1">
      <alignment horizontal="center" vertical="center" wrapText="1"/>
    </xf>
    <xf numFmtId="0" fontId="24" fillId="30" borderId="21" xfId="0" applyFont="1" applyFill="1" applyBorder="1" applyAlignment="1">
      <alignment horizontal="center" vertical="center"/>
    </xf>
    <xf numFmtId="0" fontId="36" fillId="0" borderId="0" xfId="0" applyFont="1"/>
    <xf numFmtId="0" fontId="31" fillId="0" borderId="0" xfId="0" applyFont="1"/>
    <xf numFmtId="165" fontId="31" fillId="0" borderId="0" xfId="0" applyNumberFormat="1" applyFont="1"/>
    <xf numFmtId="0" fontId="24" fillId="31" borderId="21" xfId="0" applyFont="1" applyFill="1" applyBorder="1" applyAlignment="1">
      <alignment horizontal="center" vertical="center"/>
    </xf>
    <xf numFmtId="0" fontId="24" fillId="31" borderId="24" xfId="0" applyFont="1" applyFill="1" applyBorder="1" applyAlignment="1">
      <alignment horizontal="center" vertical="center"/>
    </xf>
    <xf numFmtId="0" fontId="44" fillId="0" borderId="0" xfId="0" applyFont="1"/>
    <xf numFmtId="0" fontId="45" fillId="0" borderId="0" xfId="0" applyFont="1"/>
    <xf numFmtId="49" fontId="20" fillId="0" borderId="0" xfId="0" applyNumberFormat="1" applyFont="1" applyAlignment="1">
      <alignment horizontal="center" vertical="center"/>
    </xf>
    <xf numFmtId="0" fontId="24" fillId="29" borderId="25" xfId="0" applyFont="1" applyFill="1" applyBorder="1" applyAlignment="1">
      <alignment horizontal="center" vertical="center" wrapText="1"/>
    </xf>
    <xf numFmtId="0" fontId="24" fillId="30" borderId="25" xfId="0" applyFont="1" applyFill="1" applyBorder="1" applyAlignment="1">
      <alignment horizontal="center" vertical="center"/>
    </xf>
    <xf numFmtId="0" fontId="17" fillId="0" borderId="0" xfId="0" applyFont="1" applyAlignment="1">
      <alignment horizontal="left" indent="1"/>
    </xf>
    <xf numFmtId="0" fontId="43" fillId="0" borderId="0" xfId="0" applyFont="1" applyAlignment="1">
      <alignment vertical="center"/>
    </xf>
    <xf numFmtId="0" fontId="43" fillId="0" borderId="0" xfId="0" applyFont="1"/>
    <xf numFmtId="0" fontId="73" fillId="0" borderId="0" xfId="0" applyFont="1"/>
    <xf numFmtId="1" fontId="26" fillId="32" borderId="20" xfId="0" applyNumberFormat="1" applyFont="1" applyFill="1" applyBorder="1" applyAlignment="1" applyProtection="1">
      <alignment horizontal="center" vertical="center"/>
      <protection locked="0"/>
    </xf>
    <xf numFmtId="0" fontId="8" fillId="0" borderId="0" xfId="0" applyFont="1"/>
    <xf numFmtId="0" fontId="15" fillId="0" borderId="22" xfId="0" applyFont="1" applyBorder="1"/>
    <xf numFmtId="9" fontId="26" fillId="0" borderId="19" xfId="397" applyFont="1" applyBorder="1" applyAlignment="1" applyProtection="1">
      <alignment horizontal="center" vertical="center"/>
    </xf>
    <xf numFmtId="9" fontId="15" fillId="0" borderId="19" xfId="397" applyFont="1" applyBorder="1" applyAlignment="1" applyProtection="1">
      <alignment horizontal="center" vertical="center"/>
    </xf>
    <xf numFmtId="166" fontId="15" fillId="0" borderId="19" xfId="397" applyNumberFormat="1" applyFont="1" applyBorder="1" applyAlignment="1" applyProtection="1">
      <alignment horizontal="center" vertical="center"/>
    </xf>
    <xf numFmtId="0" fontId="15" fillId="0" borderId="19" xfId="0" applyFont="1" applyBorder="1" applyAlignment="1">
      <alignment horizontal="center" vertical="center"/>
    </xf>
    <xf numFmtId="0" fontId="74" fillId="31" borderId="25" xfId="0" applyFont="1" applyFill="1" applyBorder="1" applyAlignment="1">
      <alignment horizontal="center" vertical="center"/>
    </xf>
    <xf numFmtId="0" fontId="74" fillId="31" borderId="27" xfId="0" applyFont="1" applyFill="1" applyBorder="1" applyAlignment="1">
      <alignment horizontal="center" vertical="center"/>
    </xf>
    <xf numFmtId="0" fontId="15" fillId="27" borderId="0" xfId="0" applyFont="1" applyFill="1" applyAlignment="1">
      <alignment horizontal="right" vertical="center"/>
    </xf>
    <xf numFmtId="0" fontId="15" fillId="27" borderId="0" xfId="0" applyFont="1" applyFill="1"/>
    <xf numFmtId="0" fontId="15" fillId="0" borderId="0" xfId="0" applyFont="1" applyAlignment="1">
      <alignment horizontal="right" vertical="center"/>
    </xf>
    <xf numFmtId="0" fontId="26" fillId="0" borderId="0" xfId="0" applyFont="1" applyAlignment="1">
      <alignment vertical="center"/>
    </xf>
    <xf numFmtId="0" fontId="18" fillId="0" borderId="28" xfId="0" applyFont="1" applyBorder="1"/>
    <xf numFmtId="0" fontId="18" fillId="0" borderId="29" xfId="0" applyFont="1" applyBorder="1"/>
    <xf numFmtId="0" fontId="15" fillId="0" borderId="28" xfId="0" applyFont="1" applyBorder="1" applyAlignment="1">
      <alignment vertical="center"/>
    </xf>
    <xf numFmtId="0" fontId="18" fillId="0" borderId="28" xfId="0" applyFont="1" applyBorder="1" applyAlignment="1">
      <alignment vertical="center"/>
    </xf>
    <xf numFmtId="0" fontId="15" fillId="0" borderId="22" xfId="0" applyFont="1" applyBorder="1" applyAlignment="1">
      <alignment vertical="center"/>
    </xf>
    <xf numFmtId="0" fontId="15" fillId="0" borderId="26" xfId="0" applyFont="1" applyBorder="1"/>
    <xf numFmtId="0" fontId="26" fillId="0" borderId="0" xfId="0" applyFont="1"/>
    <xf numFmtId="0" fontId="26" fillId="0" borderId="19" xfId="0" applyFont="1" applyBorder="1" applyAlignment="1">
      <alignment horizontal="center" vertical="center"/>
    </xf>
    <xf numFmtId="0" fontId="73" fillId="0" borderId="19" xfId="0" applyFont="1" applyBorder="1" applyAlignment="1">
      <alignment horizontal="center" vertical="center"/>
    </xf>
    <xf numFmtId="0" fontId="73" fillId="0" borderId="0" xfId="0" applyFont="1" applyAlignment="1">
      <alignment vertical="center"/>
    </xf>
    <xf numFmtId="0" fontId="76" fillId="0" borderId="19" xfId="0" applyFont="1" applyBorder="1" applyAlignment="1">
      <alignment horizontal="center" vertical="center" wrapText="1"/>
    </xf>
    <xf numFmtId="0" fontId="75" fillId="0" borderId="19" xfId="0" applyFont="1" applyBorder="1" applyAlignment="1">
      <alignment horizontal="left" vertical="center"/>
    </xf>
    <xf numFmtId="0" fontId="75" fillId="0" borderId="0" xfId="0" applyFont="1"/>
    <xf numFmtId="0" fontId="74" fillId="0" borderId="0" xfId="0" applyFont="1"/>
    <xf numFmtId="0" fontId="75" fillId="0" borderId="19" xfId="0" applyFont="1" applyBorder="1" applyAlignment="1">
      <alignment horizontal="center" vertical="center"/>
    </xf>
    <xf numFmtId="0" fontId="75" fillId="0" borderId="0" xfId="0" applyFont="1" applyAlignment="1">
      <alignment vertical="center"/>
    </xf>
    <xf numFmtId="0" fontId="75" fillId="0" borderId="19" xfId="0" applyFont="1" applyBorder="1" applyAlignment="1">
      <alignment vertical="center"/>
    </xf>
    <xf numFmtId="0" fontId="16" fillId="0" borderId="0" xfId="0" applyFont="1" applyAlignment="1">
      <alignment vertical="center"/>
    </xf>
    <xf numFmtId="49" fontId="15" fillId="0" borderId="0" xfId="0" applyNumberFormat="1" applyFont="1" applyAlignment="1">
      <alignment horizontal="center" vertical="center"/>
    </xf>
    <xf numFmtId="49" fontId="15" fillId="0" borderId="19" xfId="0" applyNumberFormat="1" applyFont="1" applyBorder="1" applyAlignment="1">
      <alignment horizontal="center" vertical="center"/>
    </xf>
    <xf numFmtId="164" fontId="8" fillId="29" borderId="21" xfId="397" applyNumberFormat="1" applyFont="1" applyFill="1" applyBorder="1" applyAlignment="1" applyProtection="1">
      <alignment horizontal="center" vertical="center" wrapText="1"/>
    </xf>
    <xf numFmtId="0" fontId="73" fillId="0" borderId="19" xfId="0" quotePrefix="1" applyFont="1" applyBorder="1" applyAlignment="1">
      <alignment vertical="center"/>
    </xf>
    <xf numFmtId="0" fontId="8" fillId="0" borderId="23" xfId="0" applyFont="1" applyBorder="1" applyAlignment="1">
      <alignment horizontal="center" vertical="center" wrapText="1"/>
    </xf>
    <xf numFmtId="0" fontId="15" fillId="0" borderId="30" xfId="0" applyFont="1" applyBorder="1" applyAlignment="1">
      <alignment vertical="center"/>
    </xf>
    <xf numFmtId="0" fontId="15" fillId="0" borderId="31" xfId="0" applyFont="1" applyBorder="1" applyAlignment="1">
      <alignment horizontal="center" vertical="center"/>
    </xf>
    <xf numFmtId="0" fontId="15" fillId="0" borderId="0" xfId="0" applyFont="1" applyAlignment="1">
      <alignment horizontal="center" vertical="center" wrapText="1"/>
    </xf>
    <xf numFmtId="0" fontId="77" fillId="0" borderId="19" xfId="0" applyFont="1" applyBorder="1" applyAlignment="1">
      <alignment horizontal="center" vertical="center" wrapText="1"/>
    </xf>
    <xf numFmtId="0" fontId="73" fillId="0" borderId="0" xfId="0" applyFont="1" applyAlignment="1">
      <alignment horizontal="center" vertical="center"/>
    </xf>
    <xf numFmtId="0" fontId="15" fillId="34" borderId="19" xfId="0" applyFont="1" applyFill="1" applyBorder="1" applyAlignment="1">
      <alignment horizontal="right" vertical="center"/>
    </xf>
    <xf numFmtId="0" fontId="73" fillId="34" borderId="19" xfId="0" applyFont="1" applyFill="1" applyBorder="1" applyAlignment="1">
      <alignment horizontal="center" vertical="center"/>
    </xf>
    <xf numFmtId="0" fontId="15" fillId="34" borderId="19" xfId="0" applyFont="1" applyFill="1" applyBorder="1" applyAlignment="1">
      <alignment horizontal="center" vertical="center"/>
    </xf>
    <xf numFmtId="0" fontId="15" fillId="35" borderId="19" xfId="0" applyFont="1" applyFill="1" applyBorder="1" applyAlignment="1">
      <alignment horizontal="right" vertical="center"/>
    </xf>
    <xf numFmtId="0" fontId="15" fillId="35" borderId="19" xfId="0" applyFont="1" applyFill="1" applyBorder="1" applyAlignment="1">
      <alignment horizontal="center" vertical="center"/>
    </xf>
    <xf numFmtId="0" fontId="15" fillId="30" borderId="19" xfId="0" applyFont="1" applyFill="1" applyBorder="1" applyAlignment="1">
      <alignment horizontal="right" vertical="center"/>
    </xf>
    <xf numFmtId="0" fontId="15" fillId="30" borderId="19" xfId="0" applyFont="1" applyFill="1" applyBorder="1" applyAlignment="1">
      <alignment horizontal="center" vertical="center"/>
    </xf>
    <xf numFmtId="0" fontId="5" fillId="0" borderId="19" xfId="485" applyFont="1" applyBorder="1" applyAlignment="1">
      <alignment horizontal="left" vertical="center"/>
    </xf>
    <xf numFmtId="1" fontId="75" fillId="0" borderId="0" xfId="0" applyNumberFormat="1" applyFont="1" applyAlignment="1">
      <alignment horizontal="center" vertical="center"/>
    </xf>
    <xf numFmtId="0" fontId="75" fillId="36" borderId="19" xfId="0" applyFont="1" applyFill="1" applyBorder="1" applyAlignment="1">
      <alignment horizontal="center" vertical="center"/>
    </xf>
    <xf numFmtId="0" fontId="9" fillId="0" borderId="19" xfId="0" applyFont="1" applyBorder="1" applyAlignment="1">
      <alignment horizontal="center" vertical="center" wrapText="1"/>
    </xf>
    <xf numFmtId="0" fontId="5" fillId="0" borderId="0" xfId="485" applyFont="1" applyAlignment="1">
      <alignment vertical="center"/>
    </xf>
    <xf numFmtId="1" fontId="75" fillId="0" borderId="19" xfId="0" applyNumberFormat="1" applyFont="1" applyBorder="1" applyAlignment="1">
      <alignment horizontal="center" vertical="center"/>
    </xf>
    <xf numFmtId="14" fontId="75" fillId="0" borderId="19" xfId="0" applyNumberFormat="1" applyFont="1" applyBorder="1" applyAlignment="1">
      <alignment horizontal="left" vertical="center"/>
    </xf>
    <xf numFmtId="0" fontId="24" fillId="0" borderId="19" xfId="0" applyFont="1" applyBorder="1" applyAlignment="1">
      <alignment horizontal="left" vertical="center"/>
    </xf>
    <xf numFmtId="0" fontId="16" fillId="0" borderId="19" xfId="0" applyFont="1" applyBorder="1" applyAlignment="1">
      <alignment horizontal="center" vertical="center"/>
    </xf>
    <xf numFmtId="0" fontId="75" fillId="0" borderId="0" xfId="0" applyFont="1" applyAlignment="1">
      <alignment horizontal="center" vertical="center"/>
    </xf>
    <xf numFmtId="0" fontId="15" fillId="0" borderId="0" xfId="0" applyFont="1" applyAlignment="1">
      <alignment horizontal="center" vertical="center"/>
    </xf>
    <xf numFmtId="166" fontId="26" fillId="0" borderId="19" xfId="0" applyNumberFormat="1" applyFont="1" applyBorder="1" applyAlignment="1">
      <alignment horizontal="center" vertical="center"/>
    </xf>
    <xf numFmtId="166" fontId="73" fillId="0" borderId="19" xfId="0" applyNumberFormat="1" applyFont="1" applyBorder="1" applyAlignment="1">
      <alignment horizontal="center" vertical="center"/>
    </xf>
    <xf numFmtId="0" fontId="15" fillId="35" borderId="21" xfId="0" applyFont="1" applyFill="1" applyBorder="1" applyAlignment="1">
      <alignment horizontal="center" vertical="center"/>
    </xf>
    <xf numFmtId="0" fontId="15" fillId="30" borderId="21" xfId="0" applyFont="1" applyFill="1" applyBorder="1" applyAlignment="1">
      <alignment horizontal="center" vertical="center"/>
    </xf>
    <xf numFmtId="0" fontId="15" fillId="37" borderId="21" xfId="0" applyFont="1" applyFill="1" applyBorder="1" applyAlignment="1">
      <alignment horizontal="center" vertical="center"/>
    </xf>
    <xf numFmtId="0" fontId="15" fillId="37" borderId="24" xfId="0" applyFont="1" applyFill="1" applyBorder="1" applyAlignment="1">
      <alignment horizontal="center" vertical="center"/>
    </xf>
    <xf numFmtId="0" fontId="46" fillId="0" borderId="0" xfId="0" applyFont="1" applyAlignment="1">
      <alignment vertical="center"/>
    </xf>
    <xf numFmtId="0" fontId="15" fillId="29" borderId="25" xfId="0" applyFont="1" applyFill="1" applyBorder="1" applyAlignment="1">
      <alignment horizontal="center" vertical="center" wrapText="1"/>
    </xf>
    <xf numFmtId="0" fontId="15" fillId="30" borderId="25" xfId="0" applyFont="1" applyFill="1" applyBorder="1" applyAlignment="1">
      <alignment horizontal="center" vertical="center"/>
    </xf>
    <xf numFmtId="0" fontId="15" fillId="37" borderId="25" xfId="0" applyFont="1" applyFill="1" applyBorder="1" applyAlignment="1">
      <alignment horizontal="center" vertical="center"/>
    </xf>
    <xf numFmtId="0" fontId="15" fillId="37" borderId="27"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5" fillId="0" borderId="19" xfId="0" applyFont="1" applyBorder="1" applyAlignment="1">
      <alignment vertical="center"/>
    </xf>
    <xf numFmtId="0" fontId="26" fillId="0" borderId="19" xfId="0" applyFont="1" applyBorder="1" applyAlignment="1">
      <alignment vertical="center"/>
    </xf>
    <xf numFmtId="0" fontId="73" fillId="0" borderId="19" xfId="0" applyFont="1" applyBorder="1" applyAlignment="1">
      <alignment vertical="center"/>
    </xf>
    <xf numFmtId="0" fontId="73" fillId="0" borderId="19" xfId="0" applyFont="1" applyBorder="1" applyAlignment="1">
      <alignment horizontal="center"/>
    </xf>
    <xf numFmtId="0" fontId="73" fillId="0" borderId="19" xfId="0" applyFont="1" applyBorder="1"/>
    <xf numFmtId="0" fontId="76" fillId="0" borderId="19" xfId="0" applyFont="1" applyBorder="1" applyAlignment="1">
      <alignment horizontal="center" vertical="center"/>
    </xf>
    <xf numFmtId="0" fontId="8" fillId="0" borderId="19" xfId="0" applyFont="1" applyBorder="1" applyAlignment="1">
      <alignment horizontal="center" vertical="center" wrapText="1"/>
    </xf>
    <xf numFmtId="49" fontId="15" fillId="34" borderId="32" xfId="0" applyNumberFormat="1" applyFont="1" applyFill="1" applyBorder="1" applyAlignment="1">
      <alignment horizontal="center" vertical="center" wrapText="1"/>
    </xf>
    <xf numFmtId="0" fontId="15" fillId="29" borderId="33" xfId="0" applyFont="1" applyFill="1" applyBorder="1" applyAlignment="1">
      <alignment horizontal="center" vertical="center" wrapText="1"/>
    </xf>
    <xf numFmtId="0" fontId="15" fillId="29" borderId="32" xfId="0" applyFont="1" applyFill="1" applyBorder="1" applyAlignment="1">
      <alignment horizontal="center" vertical="center" wrapText="1"/>
    </xf>
    <xf numFmtId="0" fontId="8" fillId="0" borderId="19" xfId="0" applyFont="1" applyBorder="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vertical="center"/>
    </xf>
    <xf numFmtId="0" fontId="15" fillId="35" borderId="25" xfId="0" applyFont="1" applyFill="1" applyBorder="1" applyAlignment="1">
      <alignment horizontal="center" vertical="center" wrapText="1"/>
    </xf>
    <xf numFmtId="0" fontId="74" fillId="0" borderId="0" xfId="0" applyFont="1" applyAlignment="1">
      <alignment horizontal="center"/>
    </xf>
    <xf numFmtId="0" fontId="78" fillId="0" borderId="19" xfId="0" applyFont="1" applyBorder="1" applyAlignment="1">
      <alignment horizontal="center" vertical="center" wrapText="1"/>
    </xf>
    <xf numFmtId="0" fontId="78" fillId="0" borderId="19" xfId="0" applyFont="1" applyBorder="1" applyAlignment="1">
      <alignment horizontal="center" vertical="center"/>
    </xf>
    <xf numFmtId="0" fontId="8" fillId="0" borderId="37" xfId="0" applyFont="1" applyBorder="1" applyAlignment="1">
      <alignment vertical="center"/>
    </xf>
    <xf numFmtId="0" fontId="15" fillId="0" borderId="37" xfId="0" applyFont="1" applyBorder="1" applyAlignment="1">
      <alignment vertical="center"/>
    </xf>
    <xf numFmtId="0" fontId="15" fillId="0" borderId="39"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19" xfId="0" applyFont="1" applyBorder="1" applyAlignment="1">
      <alignment horizontal="center" vertical="center"/>
    </xf>
    <xf numFmtId="0" fontId="8" fillId="0" borderId="41" xfId="0" applyFont="1" applyBorder="1" applyAlignment="1">
      <alignment horizontal="center" vertical="center"/>
    </xf>
    <xf numFmtId="0" fontId="8" fillId="0" borderId="30" xfId="0" applyFont="1" applyBorder="1" applyAlignment="1">
      <alignment horizontal="center" vertical="center"/>
    </xf>
    <xf numFmtId="0" fontId="8" fillId="0" borderId="37" xfId="0" applyFont="1" applyBorder="1" applyAlignment="1">
      <alignment horizontal="center" vertical="center"/>
    </xf>
    <xf numFmtId="0" fontId="8" fillId="0" borderId="20" xfId="0" applyFont="1" applyBorder="1" applyAlignment="1">
      <alignment vertical="center" wrapText="1"/>
    </xf>
    <xf numFmtId="1" fontId="9" fillId="32" borderId="20" xfId="0" applyNumberFormat="1" applyFont="1" applyFill="1" applyBorder="1" applyAlignment="1" applyProtection="1">
      <alignment horizontal="center" vertical="center"/>
      <protection locked="0"/>
    </xf>
    <xf numFmtId="2" fontId="75" fillId="0" borderId="19" xfId="0" applyNumberFormat="1" applyFont="1" applyBorder="1" applyAlignment="1">
      <alignment horizontal="center" vertical="center"/>
    </xf>
    <xf numFmtId="2" fontId="75" fillId="36" borderId="19" xfId="0" applyNumberFormat="1" applyFont="1" applyFill="1" applyBorder="1" applyAlignment="1">
      <alignment horizontal="center" vertical="center"/>
    </xf>
    <xf numFmtId="0" fontId="20" fillId="0" borderId="0" xfId="0" applyFont="1" applyAlignment="1">
      <alignment horizontal="justify"/>
    </xf>
    <xf numFmtId="0" fontId="15" fillId="0" borderId="20" xfId="0" applyFont="1" applyBorder="1" applyAlignment="1">
      <alignment horizontal="center" vertical="center" wrapText="1"/>
    </xf>
    <xf numFmtId="10" fontId="73" fillId="0" borderId="19" xfId="0" applyNumberFormat="1" applyFont="1" applyBorder="1" applyAlignment="1">
      <alignment horizontal="center" vertical="center"/>
    </xf>
    <xf numFmtId="1" fontId="73" fillId="0" borderId="19" xfId="0" applyNumberFormat="1" applyFont="1" applyBorder="1" applyAlignment="1">
      <alignment horizontal="center" vertical="center"/>
    </xf>
    <xf numFmtId="9" fontId="73" fillId="0" borderId="19" xfId="0" applyNumberFormat="1" applyFont="1" applyBorder="1" applyAlignment="1">
      <alignment horizontal="center" vertical="center" wrapText="1"/>
    </xf>
    <xf numFmtId="9" fontId="73" fillId="0" borderId="19" xfId="0" applyNumberFormat="1" applyFont="1" applyBorder="1" applyAlignment="1">
      <alignment horizontal="center" vertical="center"/>
    </xf>
    <xf numFmtId="0" fontId="73" fillId="0" borderId="0" xfId="0" applyFont="1" applyAlignment="1">
      <alignment horizontal="left" vertical="center" wrapText="1"/>
    </xf>
    <xf numFmtId="0" fontId="73" fillId="0" borderId="19" xfId="0" applyFont="1" applyBorder="1" applyAlignment="1">
      <alignment horizontal="left" vertical="center" wrapText="1"/>
    </xf>
    <xf numFmtId="0" fontId="73" fillId="0" borderId="19" xfId="0" applyFont="1" applyBorder="1" applyAlignment="1">
      <alignment horizontal="left" vertical="center"/>
    </xf>
    <xf numFmtId="0" fontId="77" fillId="0" borderId="0" xfId="0" applyFont="1" applyAlignment="1">
      <alignment horizontal="left" vertical="center"/>
    </xf>
    <xf numFmtId="0" fontId="26" fillId="0" borderId="19" xfId="0" applyFont="1" applyBorder="1" applyAlignment="1">
      <alignment horizontal="left" vertical="center" wrapText="1"/>
    </xf>
    <xf numFmtId="0" fontId="73" fillId="0" borderId="0" xfId="0" applyFont="1" applyAlignment="1">
      <alignment horizontal="center" vertical="center" wrapText="1"/>
    </xf>
    <xf numFmtId="0" fontId="73" fillId="0" borderId="0" xfId="0" applyFont="1" applyAlignment="1">
      <alignment horizontal="left" vertical="center"/>
    </xf>
    <xf numFmtId="0" fontId="26" fillId="0" borderId="19" xfId="0" applyFont="1" applyBorder="1" applyAlignment="1">
      <alignment horizontal="center" vertical="center" wrapText="1"/>
    </xf>
    <xf numFmtId="0" fontId="23" fillId="0" borderId="0" xfId="0" applyFont="1" applyAlignment="1">
      <alignment vertical="top"/>
    </xf>
    <xf numFmtId="0" fontId="30" fillId="0" borderId="0" xfId="0" applyFont="1" applyAlignment="1">
      <alignment vertical="center"/>
    </xf>
    <xf numFmtId="1" fontId="15" fillId="27" borderId="19" xfId="0" applyNumberFormat="1" applyFont="1" applyFill="1" applyBorder="1" applyAlignment="1">
      <alignment horizontal="center" vertical="center"/>
    </xf>
    <xf numFmtId="1" fontId="15" fillId="32" borderId="19" xfId="0" applyNumberFormat="1" applyFont="1" applyFill="1" applyBorder="1" applyAlignment="1" applyProtection="1">
      <alignment horizontal="center" vertical="center"/>
      <protection locked="0"/>
    </xf>
    <xf numFmtId="10" fontId="26" fillId="27" borderId="20" xfId="397" applyNumberFormat="1" applyFont="1" applyFill="1" applyBorder="1" applyAlignment="1" applyProtection="1">
      <alignment horizontal="center" vertical="center" wrapText="1"/>
    </xf>
    <xf numFmtId="10" fontId="26" fillId="0" borderId="19" xfId="397" applyNumberFormat="1" applyFont="1" applyFill="1" applyBorder="1" applyAlignment="1" applyProtection="1">
      <alignment horizontal="center" vertical="center"/>
    </xf>
    <xf numFmtId="1" fontId="20" fillId="0" borderId="0" xfId="0" applyNumberFormat="1" applyFont="1"/>
    <xf numFmtId="1" fontId="8" fillId="32" borderId="19" xfId="397" quotePrefix="1" applyNumberFormat="1" applyFont="1" applyFill="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27" xfId="0" applyFont="1" applyBorder="1" applyAlignment="1">
      <alignment vertical="center"/>
    </xf>
    <xf numFmtId="0" fontId="15" fillId="0" borderId="27" xfId="0" applyFont="1" applyBorder="1" applyAlignment="1">
      <alignment vertical="center"/>
    </xf>
    <xf numFmtId="0" fontId="15" fillId="0" borderId="44" xfId="0" applyFont="1" applyBorder="1" applyAlignment="1">
      <alignment horizontal="center" vertical="center"/>
    </xf>
    <xf numFmtId="0" fontId="15" fillId="29" borderId="43" xfId="0" applyFont="1" applyFill="1" applyBorder="1" applyAlignment="1">
      <alignment horizontal="center" vertical="center" wrapText="1"/>
    </xf>
    <xf numFmtId="49" fontId="15" fillId="34" borderId="43" xfId="0" applyNumberFormat="1" applyFont="1" applyFill="1" applyBorder="1" applyAlignment="1">
      <alignment horizontal="center" vertical="center" wrapText="1"/>
    </xf>
    <xf numFmtId="49" fontId="15" fillId="34" borderId="33" xfId="0" applyNumberFormat="1" applyFont="1" applyFill="1" applyBorder="1" applyAlignment="1">
      <alignment horizontal="center" vertical="center" wrapText="1"/>
    </xf>
    <xf numFmtId="0" fontId="75" fillId="0" borderId="19" xfId="0" applyFont="1" applyBorder="1" applyAlignment="1">
      <alignment horizontal="left" vertical="center" wrapText="1"/>
    </xf>
    <xf numFmtId="0" fontId="76" fillId="0" borderId="0" xfId="0" applyFont="1" applyAlignment="1">
      <alignment horizontal="center" vertical="center" wrapText="1"/>
    </xf>
    <xf numFmtId="0" fontId="75" fillId="0" borderId="0" xfId="0" applyFont="1" applyAlignment="1">
      <alignment horizontal="right" vertical="center" wrapText="1"/>
    </xf>
    <xf numFmtId="0" fontId="73" fillId="0" borderId="0" xfId="0" quotePrefix="1" applyFont="1"/>
    <xf numFmtId="2" fontId="73" fillId="0" borderId="19" xfId="0" applyNumberFormat="1" applyFont="1" applyBorder="1" applyAlignment="1">
      <alignment horizontal="center" vertical="center"/>
    </xf>
    <xf numFmtId="0" fontId="26" fillId="38" borderId="19" xfId="0" applyFont="1" applyFill="1" applyBorder="1" applyAlignment="1">
      <alignment vertical="center"/>
    </xf>
    <xf numFmtId="0" fontId="15" fillId="38" borderId="19" xfId="0" applyFont="1" applyFill="1" applyBorder="1" applyAlignment="1">
      <alignment vertical="center"/>
    </xf>
    <xf numFmtId="0" fontId="73" fillId="38" borderId="0" xfId="0" applyFont="1" applyFill="1" applyAlignment="1">
      <alignment vertical="center"/>
    </xf>
    <xf numFmtId="0" fontId="15" fillId="38" borderId="0" xfId="0" applyFont="1" applyFill="1" applyAlignment="1">
      <alignment vertical="center"/>
    </xf>
    <xf numFmtId="0" fontId="8" fillId="0" borderId="45" xfId="0" applyFont="1" applyBorder="1" applyAlignment="1">
      <alignment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15" fillId="30" borderId="50" xfId="0" applyFont="1" applyFill="1" applyBorder="1" applyAlignment="1">
      <alignment horizontal="center" vertical="center" wrapText="1"/>
    </xf>
    <xf numFmtId="0" fontId="15" fillId="0" borderId="19" xfId="0" applyFont="1" applyBorder="1" applyAlignment="1">
      <alignment horizontal="left" vertical="center"/>
    </xf>
    <xf numFmtId="166" fontId="73" fillId="0" borderId="19" xfId="0" quotePrefix="1" applyNumberFormat="1" applyFont="1" applyBorder="1" applyAlignment="1">
      <alignment vertical="center"/>
    </xf>
    <xf numFmtId="10" fontId="31" fillId="0" borderId="0" xfId="0" applyNumberFormat="1" applyFont="1"/>
    <xf numFmtId="166" fontId="73" fillId="0" borderId="19" xfId="0" applyNumberFormat="1" applyFont="1" applyBorder="1" applyAlignment="1">
      <alignment horizontal="center" vertical="center" wrapText="1"/>
    </xf>
    <xf numFmtId="0" fontId="20" fillId="0" borderId="19" xfId="0" applyFont="1" applyBorder="1" applyAlignment="1">
      <alignment horizontal="center" vertical="center"/>
    </xf>
    <xf numFmtId="1" fontId="20" fillId="0" borderId="19" xfId="0" applyNumberFormat="1" applyFont="1" applyBorder="1" applyAlignment="1">
      <alignment horizontal="center" vertical="center"/>
    </xf>
    <xf numFmtId="0" fontId="15" fillId="29" borderId="20" xfId="0" applyFont="1" applyFill="1" applyBorder="1" applyAlignment="1">
      <alignment horizontal="center" vertical="center" wrapText="1"/>
    </xf>
    <xf numFmtId="1" fontId="15" fillId="32" borderId="34" xfId="0" applyNumberFormat="1" applyFont="1" applyFill="1" applyBorder="1" applyAlignment="1" applyProtection="1">
      <alignment horizontal="center" vertical="center"/>
      <protection locked="0"/>
    </xf>
    <xf numFmtId="1" fontId="15" fillId="27" borderId="30" xfId="0" applyNumberFormat="1" applyFont="1" applyFill="1" applyBorder="1" applyAlignment="1">
      <alignment horizontal="center" vertical="center"/>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1" fontId="8" fillId="32" borderId="47" xfId="0" applyNumberFormat="1" applyFont="1" applyFill="1" applyBorder="1" applyAlignment="1" applyProtection="1">
      <alignment horizontal="center" vertical="center"/>
      <protection locked="0"/>
    </xf>
    <xf numFmtId="10" fontId="26" fillId="27" borderId="34" xfId="0" applyNumberFormat="1" applyFont="1" applyFill="1" applyBorder="1" applyAlignment="1">
      <alignment horizontal="center" vertical="center"/>
    </xf>
    <xf numFmtId="1" fontId="8" fillId="32" borderId="48" xfId="0" applyNumberFormat="1" applyFont="1" applyFill="1" applyBorder="1" applyAlignment="1" applyProtection="1">
      <alignment horizontal="center" vertical="center"/>
      <protection locked="0"/>
    </xf>
    <xf numFmtId="1" fontId="15" fillId="32" borderId="30" xfId="0" applyNumberFormat="1" applyFont="1" applyFill="1" applyBorder="1" applyAlignment="1" applyProtection="1">
      <alignment horizontal="center" vertical="center"/>
      <protection locked="0"/>
    </xf>
    <xf numFmtId="10" fontId="26" fillId="27" borderId="31" xfId="0" applyNumberFormat="1" applyFont="1" applyFill="1" applyBorder="1" applyAlignment="1">
      <alignment horizontal="center" vertical="center"/>
    </xf>
    <xf numFmtId="1" fontId="8" fillId="0" borderId="47" xfId="0" applyNumberFormat="1" applyFont="1" applyBorder="1" applyAlignment="1">
      <alignment horizontal="center" vertical="center"/>
    </xf>
    <xf numFmtId="1" fontId="8" fillId="0" borderId="48" xfId="0" applyNumberFormat="1" applyFont="1" applyBorder="1" applyAlignment="1">
      <alignment horizontal="center" vertical="center"/>
    </xf>
    <xf numFmtId="1" fontId="8" fillId="32" borderId="30" xfId="397" quotePrefix="1" applyNumberFormat="1" applyFont="1" applyFill="1" applyBorder="1" applyAlignment="1" applyProtection="1">
      <alignment horizontal="center" vertical="center"/>
      <protection locked="0"/>
    </xf>
    <xf numFmtId="1" fontId="15" fillId="32" borderId="31" xfId="0" applyNumberFormat="1" applyFont="1" applyFill="1" applyBorder="1" applyAlignment="1" applyProtection="1">
      <alignment horizontal="center" vertical="center"/>
      <protection locked="0"/>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8" fillId="72" borderId="19" xfId="0" applyFont="1" applyFill="1" applyBorder="1" applyAlignment="1">
      <alignment horizontal="center" textRotation="90" wrapText="1"/>
    </xf>
    <xf numFmtId="0" fontId="8" fillId="73" borderId="19" xfId="0" applyFont="1" applyFill="1" applyBorder="1" applyAlignment="1">
      <alignment horizontal="center" textRotation="90" wrapText="1"/>
    </xf>
    <xf numFmtId="0" fontId="9" fillId="0" borderId="60" xfId="0" applyFont="1" applyBorder="1" applyAlignment="1">
      <alignment textRotation="90" wrapText="1"/>
    </xf>
    <xf numFmtId="0" fontId="9" fillId="0" borderId="18" xfId="0" applyFont="1" applyBorder="1" applyAlignment="1">
      <alignment horizontal="center" wrapText="1"/>
    </xf>
    <xf numFmtId="0" fontId="9" fillId="0" borderId="57" xfId="0" applyFont="1" applyBorder="1" applyAlignment="1">
      <alignment horizontal="center" wrapText="1"/>
    </xf>
    <xf numFmtId="0" fontId="9" fillId="0" borderId="61" xfId="0" applyFont="1" applyBorder="1" applyAlignment="1">
      <alignment horizontal="center" vertical="center" wrapText="1"/>
    </xf>
    <xf numFmtId="1" fontId="8" fillId="0" borderId="26" xfId="0" applyNumberFormat="1" applyFont="1" applyBorder="1" applyAlignment="1">
      <alignment horizontal="center" vertical="center"/>
    </xf>
    <xf numFmtId="1" fontId="8" fillId="0" borderId="41" xfId="0" applyNumberFormat="1" applyFont="1" applyBorder="1" applyAlignment="1">
      <alignment horizontal="center" vertical="center"/>
    </xf>
    <xf numFmtId="1" fontId="26" fillId="32" borderId="32" xfId="0" applyNumberFormat="1" applyFont="1" applyFill="1" applyBorder="1" applyAlignment="1" applyProtection="1">
      <alignment horizontal="center" vertical="center"/>
      <protection locked="0"/>
    </xf>
    <xf numFmtId="0" fontId="17" fillId="0" borderId="0" xfId="0" applyFont="1" applyAlignment="1">
      <alignment vertical="center"/>
    </xf>
    <xf numFmtId="0" fontId="75" fillId="75" borderId="0" xfId="0" applyFont="1" applyFill="1" applyAlignment="1">
      <alignment horizontal="center" vertical="center"/>
    </xf>
    <xf numFmtId="168" fontId="8" fillId="0" borderId="0" xfId="518" applyNumberFormat="1" applyFont="1"/>
    <xf numFmtId="0" fontId="8" fillId="0" borderId="55" xfId="0" applyFont="1" applyBorder="1" applyAlignment="1">
      <alignment horizontal="center" vertical="center"/>
    </xf>
    <xf numFmtId="0" fontId="16" fillId="0" borderId="19" xfId="496" applyFont="1" applyBorder="1" applyAlignment="1">
      <alignment vertical="center"/>
    </xf>
    <xf numFmtId="0" fontId="75" fillId="0" borderId="19" xfId="0" applyFont="1" applyBorder="1"/>
    <xf numFmtId="2" fontId="75" fillId="72" borderId="19" xfId="0" applyNumberFormat="1" applyFont="1" applyFill="1" applyBorder="1" applyAlignment="1">
      <alignment horizontal="center" vertical="center"/>
    </xf>
    <xf numFmtId="0" fontId="73" fillId="78" borderId="19" xfId="0" applyFont="1" applyFill="1" applyBorder="1" applyAlignment="1">
      <alignment horizontal="center" vertical="center"/>
    </xf>
    <xf numFmtId="2" fontId="73" fillId="78" borderId="19" xfId="0" applyNumberFormat="1" applyFont="1" applyFill="1" applyBorder="1" applyAlignment="1">
      <alignment horizontal="center" vertical="center"/>
    </xf>
    <xf numFmtId="0" fontId="4" fillId="0" borderId="0" xfId="0" applyFont="1" applyAlignment="1">
      <alignment vertical="top"/>
    </xf>
    <xf numFmtId="0" fontId="73" fillId="0" borderId="19" xfId="0" applyFont="1" applyBorder="1" applyAlignment="1">
      <alignment horizontal="center" vertical="center" wrapText="1"/>
    </xf>
    <xf numFmtId="0" fontId="73" fillId="38" borderId="19" xfId="0" applyFont="1" applyFill="1" applyBorder="1" applyAlignment="1">
      <alignment horizontal="center" vertical="center" wrapText="1"/>
    </xf>
    <xf numFmtId="0" fontId="9" fillId="0" borderId="82" xfId="0" applyFont="1" applyBorder="1" applyAlignment="1">
      <alignment horizontal="center" vertical="center" wrapText="1"/>
    </xf>
    <xf numFmtId="1" fontId="15" fillId="32" borderId="23" xfId="0" applyNumberFormat="1" applyFont="1" applyFill="1" applyBorder="1" applyAlignment="1" applyProtection="1">
      <alignment horizontal="center" vertical="center"/>
      <protection locked="0"/>
    </xf>
    <xf numFmtId="1" fontId="15" fillId="27" borderId="83" xfId="0" applyNumberFormat="1" applyFont="1" applyFill="1" applyBorder="1" applyAlignment="1">
      <alignment horizontal="center" vertical="center"/>
    </xf>
    <xf numFmtId="0" fontId="108" fillId="0" borderId="20" xfId="0" applyFont="1" applyBorder="1" applyAlignment="1">
      <alignment vertical="center" wrapText="1"/>
    </xf>
    <xf numFmtId="1" fontId="112" fillId="32" borderId="20" xfId="0" applyNumberFormat="1" applyFont="1" applyFill="1" applyBorder="1" applyAlignment="1" applyProtection="1">
      <alignment horizontal="center" vertical="center"/>
      <protection locked="0"/>
    </xf>
    <xf numFmtId="10" fontId="112" fillId="0" borderId="20" xfId="397" applyNumberFormat="1" applyFont="1" applyFill="1" applyBorder="1" applyAlignment="1" applyProtection="1">
      <alignment horizontal="center" vertical="center" wrapText="1"/>
    </xf>
    <xf numFmtId="0" fontId="15" fillId="0" borderId="0" xfId="0" quotePrefix="1" applyFont="1" applyAlignment="1">
      <alignment horizontal="center" vertical="center"/>
    </xf>
    <xf numFmtId="0" fontId="113" fillId="0" borderId="0" xfId="0" applyFont="1" applyAlignment="1">
      <alignment horizontal="right" vertical="top"/>
    </xf>
    <xf numFmtId="0" fontId="114" fillId="0" borderId="0" xfId="0" applyFont="1"/>
    <xf numFmtId="0" fontId="114" fillId="38" borderId="0" xfId="0" applyFont="1" applyFill="1" applyAlignment="1">
      <alignment horizontal="center" vertical="center"/>
    </xf>
    <xf numFmtId="0" fontId="114" fillId="0" borderId="0" xfId="0" applyFont="1" applyAlignment="1">
      <alignment horizontal="left"/>
    </xf>
    <xf numFmtId="0" fontId="116" fillId="0" borderId="0" xfId="0" applyFont="1"/>
    <xf numFmtId="0" fontId="114" fillId="0" borderId="0" xfId="0" applyFont="1" applyAlignment="1">
      <alignment horizontal="center"/>
    </xf>
    <xf numFmtId="0" fontId="115" fillId="0" borderId="0" xfId="0" applyFont="1"/>
    <xf numFmtId="0" fontId="117" fillId="0" borderId="0" xfId="485" applyFont="1" applyAlignment="1">
      <alignment horizontal="left" vertical="center"/>
    </xf>
    <xf numFmtId="0" fontId="119" fillId="0" borderId="0" xfId="485" applyFont="1" applyAlignment="1">
      <alignment horizontal="left"/>
    </xf>
    <xf numFmtId="0" fontId="120" fillId="0" borderId="0" xfId="0" applyFont="1"/>
    <xf numFmtId="14" fontId="121" fillId="28" borderId="19" xfId="0" applyNumberFormat="1" applyFont="1" applyFill="1" applyBorder="1" applyAlignment="1">
      <alignment horizontal="center" vertical="center"/>
    </xf>
    <xf numFmtId="0" fontId="122" fillId="38" borderId="19" xfId="0" applyFont="1" applyFill="1" applyBorder="1" applyAlignment="1">
      <alignment horizontal="center" vertical="center"/>
    </xf>
    <xf numFmtId="0" fontId="123" fillId="0" borderId="0" xfId="0" applyFont="1" applyAlignment="1">
      <alignment horizontal="left" vertical="top"/>
    </xf>
    <xf numFmtId="0" fontId="122" fillId="0" borderId="0" xfId="0" applyFont="1"/>
    <xf numFmtId="0" fontId="127" fillId="0" borderId="24" xfId="0" applyFont="1" applyBorder="1" applyAlignment="1">
      <alignment horizontal="center" vertical="center" wrapText="1"/>
    </xf>
    <xf numFmtId="0" fontId="124" fillId="0" borderId="21" xfId="0" applyFont="1" applyBorder="1" applyAlignment="1">
      <alignment horizontal="center" vertical="center" wrapText="1"/>
    </xf>
    <xf numFmtId="0" fontId="124" fillId="0" borderId="24" xfId="0" applyFont="1" applyBorder="1" applyAlignment="1">
      <alignment horizontal="center" vertical="center" wrapText="1"/>
    </xf>
    <xf numFmtId="0" fontId="123" fillId="0" borderId="0" xfId="0" applyFont="1" applyAlignment="1">
      <alignment horizontal="center" vertical="center" wrapText="1"/>
    </xf>
    <xf numFmtId="0" fontId="123" fillId="0" borderId="0" xfId="0" applyFont="1" applyAlignment="1">
      <alignment horizontal="left" vertical="center" wrapText="1"/>
    </xf>
    <xf numFmtId="9" fontId="123" fillId="0" borderId="0" xfId="0" applyNumberFormat="1" applyFont="1" applyAlignment="1">
      <alignment horizontal="center" vertical="center" wrapText="1"/>
    </xf>
    <xf numFmtId="10" fontId="123" fillId="0" borderId="0" xfId="0" applyNumberFormat="1" applyFont="1" applyAlignment="1">
      <alignment horizontal="center" vertical="center" wrapText="1"/>
    </xf>
    <xf numFmtId="0" fontId="123" fillId="0" borderId="0" xfId="0" applyFont="1" applyAlignment="1">
      <alignment vertical="center" wrapText="1"/>
    </xf>
    <xf numFmtId="0" fontId="122" fillId="0" borderId="0" xfId="0" quotePrefix="1" applyFont="1"/>
    <xf numFmtId="0" fontId="128" fillId="0" borderId="0" xfId="0" applyFont="1" applyAlignment="1">
      <alignment wrapText="1"/>
    </xf>
    <xf numFmtId="0" fontId="128" fillId="0" borderId="0" xfId="0" applyFont="1"/>
    <xf numFmtId="0" fontId="122" fillId="0" borderId="0" xfId="0" applyFont="1" applyAlignment="1">
      <alignment horizontal="left"/>
    </xf>
    <xf numFmtId="0" fontId="129" fillId="0" borderId="0" xfId="0" applyFont="1"/>
    <xf numFmtId="0" fontId="130" fillId="0" borderId="0" xfId="0" applyFont="1"/>
    <xf numFmtId="0" fontId="131" fillId="0" borderId="0" xfId="0" applyFont="1"/>
    <xf numFmtId="0" fontId="132" fillId="0" borderId="0" xfId="0" applyFont="1" applyAlignment="1">
      <alignment horizontal="center" wrapText="1"/>
    </xf>
    <xf numFmtId="164" fontId="132" fillId="0" borderId="0" xfId="397" applyNumberFormat="1" applyFont="1" applyFill="1" applyBorder="1" applyAlignment="1" applyProtection="1">
      <alignment horizontal="center" wrapText="1"/>
    </xf>
    <xf numFmtId="0" fontId="132" fillId="0" borderId="0" xfId="0" applyFont="1" applyAlignment="1">
      <alignment wrapText="1"/>
    </xf>
    <xf numFmtId="0" fontId="129" fillId="0" borderId="19" xfId="0" applyFont="1" applyBorder="1" applyAlignment="1">
      <alignment horizontal="center"/>
    </xf>
    <xf numFmtId="0" fontId="130" fillId="0" borderId="0" xfId="0" applyFont="1" applyAlignment="1">
      <alignment horizontal="center"/>
    </xf>
    <xf numFmtId="1" fontId="129" fillId="0" borderId="19" xfId="0" applyNumberFormat="1" applyFont="1" applyBorder="1" applyAlignment="1">
      <alignment horizontal="center"/>
    </xf>
    <xf numFmtId="49" fontId="130" fillId="33" borderId="19" xfId="0" applyNumberFormat="1" applyFont="1" applyFill="1" applyBorder="1" applyAlignment="1">
      <alignment horizontal="center"/>
    </xf>
    <xf numFmtId="0" fontId="130" fillId="33" borderId="19" xfId="0" applyFont="1" applyFill="1" applyBorder="1" applyAlignment="1">
      <alignment horizontal="center"/>
    </xf>
    <xf numFmtId="9" fontId="130" fillId="33" borderId="19" xfId="425" applyFont="1" applyFill="1" applyBorder="1" applyAlignment="1" applyProtection="1">
      <alignment horizontal="center"/>
    </xf>
    <xf numFmtId="1" fontId="130" fillId="33" borderId="19" xfId="425" applyNumberFormat="1" applyFont="1" applyFill="1" applyBorder="1" applyAlignment="1" applyProtection="1">
      <alignment horizontal="center"/>
    </xf>
    <xf numFmtId="49" fontId="130" fillId="0" borderId="19" xfId="0" applyNumberFormat="1" applyFont="1" applyBorder="1" applyAlignment="1">
      <alignment horizontal="center"/>
    </xf>
    <xf numFmtId="0" fontId="130" fillId="0" borderId="19" xfId="0" applyFont="1" applyBorder="1" applyAlignment="1">
      <alignment horizontal="center"/>
    </xf>
    <xf numFmtId="9" fontId="130" fillId="0" borderId="19" xfId="425" applyFont="1" applyBorder="1" applyAlignment="1" applyProtection="1">
      <alignment horizontal="center"/>
    </xf>
    <xf numFmtId="1" fontId="130" fillId="0" borderId="19" xfId="425" applyNumberFormat="1" applyFont="1" applyBorder="1" applyAlignment="1" applyProtection="1">
      <alignment horizontal="center"/>
    </xf>
    <xf numFmtId="9" fontId="130" fillId="76" borderId="19" xfId="425" applyFont="1" applyFill="1" applyBorder="1" applyAlignment="1" applyProtection="1">
      <alignment horizontal="center"/>
    </xf>
    <xf numFmtId="0" fontId="130" fillId="0" borderId="19" xfId="0" applyFont="1" applyBorder="1"/>
    <xf numFmtId="0" fontId="130" fillId="76" borderId="19" xfId="0" applyFont="1" applyFill="1" applyBorder="1" applyAlignment="1">
      <alignment horizontal="center"/>
    </xf>
    <xf numFmtId="0" fontId="130" fillId="76" borderId="19" xfId="425" applyNumberFormat="1" applyFont="1" applyFill="1" applyBorder="1" applyAlignment="1" applyProtection="1">
      <alignment horizontal="center"/>
    </xf>
    <xf numFmtId="9" fontId="130" fillId="27" borderId="19" xfId="425" applyFont="1" applyFill="1" applyBorder="1" applyAlignment="1" applyProtection="1">
      <alignment horizontal="center"/>
    </xf>
    <xf numFmtId="10" fontId="130" fillId="33" borderId="19" xfId="425" applyNumberFormat="1" applyFont="1" applyFill="1" applyBorder="1" applyAlignment="1" applyProtection="1">
      <alignment horizontal="center"/>
    </xf>
    <xf numFmtId="10" fontId="130" fillId="0" borderId="19" xfId="425" applyNumberFormat="1" applyFont="1" applyBorder="1" applyAlignment="1" applyProtection="1">
      <alignment horizontal="center"/>
    </xf>
    <xf numFmtId="0" fontId="130" fillId="0" borderId="0" xfId="0" applyFont="1" applyAlignment="1">
      <alignment horizontal="left"/>
    </xf>
    <xf numFmtId="0" fontId="130" fillId="0" borderId="0" xfId="289" applyNumberFormat="1" applyFont="1" applyProtection="1"/>
    <xf numFmtId="0" fontId="136" fillId="0" borderId="0" xfId="0" applyFont="1" applyAlignment="1">
      <alignment horizontal="left" vertical="center"/>
    </xf>
    <xf numFmtId="0" fontId="138" fillId="27" borderId="0" xfId="485" applyFont="1" applyFill="1" applyAlignment="1">
      <alignment horizontal="center" vertical="center" wrapText="1"/>
    </xf>
    <xf numFmtId="0" fontId="130" fillId="80" borderId="0" xfId="0" applyFont="1" applyFill="1"/>
    <xf numFmtId="0" fontId="4" fillId="0" borderId="0" xfId="485" applyAlignment="1">
      <alignment vertical="center"/>
    </xf>
    <xf numFmtId="0" fontId="17" fillId="27" borderId="0" xfId="0" applyFont="1" applyFill="1" applyAlignment="1">
      <alignment horizontal="center" vertical="center" wrapText="1"/>
    </xf>
    <xf numFmtId="0" fontId="133" fillId="0" borderId="0" xfId="0" applyFont="1"/>
    <xf numFmtId="0" fontId="8" fillId="0" borderId="29" xfId="485" applyFont="1" applyBorder="1" applyAlignment="1">
      <alignment horizontal="center" vertical="top" wrapText="1"/>
    </xf>
    <xf numFmtId="0" fontId="8" fillId="0" borderId="21" xfId="485" applyFont="1" applyBorder="1" applyAlignment="1">
      <alignment horizontal="center" vertical="top" wrapText="1"/>
    </xf>
    <xf numFmtId="0" fontId="8" fillId="0" borderId="24" xfId="485" applyFont="1" applyBorder="1" applyAlignment="1">
      <alignment horizontal="center" vertical="top" wrapText="1"/>
    </xf>
    <xf numFmtId="0" fontId="8" fillId="0" borderId="24" xfId="485" applyFont="1" applyBorder="1" applyAlignment="1">
      <alignment horizontal="center" vertical="top"/>
    </xf>
    <xf numFmtId="0" fontId="8" fillId="27" borderId="24" xfId="485" applyFont="1" applyFill="1" applyBorder="1" applyAlignment="1">
      <alignment horizontal="center" vertical="top"/>
    </xf>
    <xf numFmtId="0" fontId="8" fillId="27" borderId="21" xfId="485" applyFont="1" applyFill="1" applyBorder="1" applyAlignment="1">
      <alignment horizontal="center" vertical="top" wrapText="1"/>
    </xf>
    <xf numFmtId="0" fontId="8" fillId="27" borderId="42" xfId="0" applyFont="1" applyFill="1" applyBorder="1" applyAlignment="1">
      <alignment horizontal="center" vertical="top" wrapText="1"/>
    </xf>
    <xf numFmtId="0" fontId="8" fillId="27" borderId="25" xfId="0" applyFont="1" applyFill="1" applyBorder="1" applyAlignment="1">
      <alignment horizontal="center" vertical="top" wrapText="1"/>
    </xf>
    <xf numFmtId="0" fontId="8" fillId="27" borderId="27" xfId="0" applyFont="1" applyFill="1" applyBorder="1" applyAlignment="1">
      <alignment horizontal="center" vertical="top" wrapText="1"/>
    </xf>
    <xf numFmtId="0" fontId="8" fillId="27" borderId="27" xfId="485" applyFont="1" applyFill="1" applyBorder="1" applyAlignment="1">
      <alignment horizontal="center" vertical="top" wrapText="1"/>
    </xf>
    <xf numFmtId="0" fontId="15" fillId="39" borderId="19" xfId="0" applyFont="1" applyFill="1" applyBorder="1" applyAlignment="1" applyProtection="1">
      <alignment horizontal="center" vertical="center" wrapText="1"/>
      <protection locked="0"/>
    </xf>
    <xf numFmtId="0" fontId="15" fillId="39" borderId="26" xfId="0" applyFont="1" applyFill="1" applyBorder="1" applyAlignment="1" applyProtection="1">
      <alignment horizontal="center" vertical="center" wrapText="1"/>
      <protection locked="0"/>
    </xf>
    <xf numFmtId="0" fontId="15" fillId="27" borderId="26" xfId="0" applyFont="1" applyFill="1" applyBorder="1" applyAlignment="1">
      <alignment horizontal="center" vertical="center" wrapText="1"/>
    </xf>
    <xf numFmtId="0" fontId="17" fillId="0" borderId="0" xfId="0" applyFont="1" applyAlignment="1">
      <alignment horizontal="center" vertical="center" wrapText="1"/>
    </xf>
    <xf numFmtId="0" fontId="15" fillId="32" borderId="19" xfId="0" applyFont="1" applyFill="1" applyBorder="1" applyAlignment="1" applyProtection="1">
      <alignment horizontal="center" vertical="center" wrapText="1"/>
      <protection locked="0"/>
    </xf>
    <xf numFmtId="0" fontId="9" fillId="27" borderId="19" xfId="485" applyFont="1" applyFill="1" applyBorder="1" applyAlignment="1">
      <alignment horizontal="center" vertical="center" wrapText="1"/>
    </xf>
    <xf numFmtId="0" fontId="8" fillId="0" borderId="22" xfId="0" applyFont="1" applyBorder="1" applyAlignment="1">
      <alignment horizontal="center" vertical="center" wrapText="1"/>
    </xf>
    <xf numFmtId="0" fontId="8" fillId="27" borderId="19" xfId="0" applyFont="1" applyFill="1" applyBorder="1" applyAlignment="1">
      <alignment horizontal="center" vertical="center" wrapText="1"/>
    </xf>
    <xf numFmtId="0" fontId="9" fillId="0" borderId="21" xfId="485" applyFont="1" applyBorder="1"/>
    <xf numFmtId="0" fontId="12" fillId="27" borderId="0" xfId="0" applyFont="1" applyFill="1" applyAlignment="1">
      <alignment horizontal="left" vertical="center" wrapText="1"/>
    </xf>
    <xf numFmtId="0" fontId="8" fillId="0" borderId="0" xfId="0" applyFont="1" applyAlignment="1">
      <alignment horizontal="center" vertical="center" wrapText="1"/>
    </xf>
    <xf numFmtId="0" fontId="9" fillId="0" borderId="0" xfId="485" applyFont="1"/>
    <xf numFmtId="0" fontId="16" fillId="0" borderId="19" xfId="0" applyFont="1" applyBorder="1" applyAlignment="1">
      <alignment horizontal="center" vertical="center" wrapText="1"/>
    </xf>
    <xf numFmtId="0" fontId="130" fillId="79" borderId="19" xfId="0" applyFont="1" applyFill="1" applyBorder="1" applyAlignment="1">
      <alignment horizontal="center"/>
    </xf>
    <xf numFmtId="1" fontId="130" fillId="79" borderId="19" xfId="425" applyNumberFormat="1" applyFont="1" applyFill="1" applyBorder="1" applyAlignment="1" applyProtection="1">
      <alignment horizontal="center"/>
    </xf>
    <xf numFmtId="9" fontId="130" fillId="79" borderId="19" xfId="425" applyFont="1" applyFill="1" applyBorder="1" applyAlignment="1" applyProtection="1">
      <alignment horizontal="center"/>
    </xf>
    <xf numFmtId="0" fontId="130" fillId="79" borderId="19" xfId="425" applyNumberFormat="1" applyFont="1" applyFill="1" applyBorder="1" applyAlignment="1" applyProtection="1">
      <alignment horizontal="center"/>
    </xf>
    <xf numFmtId="49" fontId="130" fillId="79" borderId="19" xfId="0" applyNumberFormat="1" applyFont="1" applyFill="1" applyBorder="1" applyAlignment="1">
      <alignment horizontal="center"/>
    </xf>
    <xf numFmtId="9" fontId="130" fillId="0" borderId="19" xfId="425" applyFont="1" applyFill="1" applyBorder="1" applyAlignment="1" applyProtection="1">
      <alignment horizontal="center"/>
    </xf>
    <xf numFmtId="1" fontId="130" fillId="0" borderId="19" xfId="425" applyNumberFormat="1" applyFont="1" applyFill="1" applyBorder="1" applyAlignment="1" applyProtection="1">
      <alignment horizontal="center"/>
    </xf>
    <xf numFmtId="0" fontId="17" fillId="0" borderId="19" xfId="0" applyFont="1" applyBorder="1" applyAlignment="1">
      <alignment horizontal="center" vertical="center"/>
    </xf>
    <xf numFmtId="0" fontId="20" fillId="0" borderId="0" xfId="0" applyFont="1" applyAlignment="1">
      <alignment vertical="center"/>
    </xf>
    <xf numFmtId="10" fontId="8" fillId="0" borderId="0" xfId="408" applyNumberFormat="1" applyFont="1" applyFill="1" applyBorder="1" applyAlignment="1" applyProtection="1">
      <alignment horizontal="center" vertical="center" wrapText="1"/>
    </xf>
    <xf numFmtId="164" fontId="8" fillId="0" borderId="0" xfId="408" applyNumberFormat="1" applyFont="1" applyFill="1" applyBorder="1" applyAlignment="1" applyProtection="1">
      <alignment horizontal="center" vertical="center" wrapText="1"/>
    </xf>
    <xf numFmtId="10" fontId="20" fillId="0" borderId="0" xfId="0" applyNumberFormat="1" applyFont="1" applyAlignment="1">
      <alignment vertical="center"/>
    </xf>
    <xf numFmtId="1" fontId="130" fillId="76" borderId="19" xfId="425" applyNumberFormat="1" applyFont="1" applyFill="1" applyBorder="1" applyAlignment="1" applyProtection="1">
      <alignment horizontal="center"/>
    </xf>
    <xf numFmtId="0" fontId="73" fillId="79" borderId="19" xfId="0" applyFont="1" applyFill="1" applyBorder="1" applyAlignment="1">
      <alignment horizontal="center" vertical="center" wrapText="1"/>
    </xf>
    <xf numFmtId="0" fontId="141" fillId="0" borderId="0" xfId="0" applyFont="1"/>
    <xf numFmtId="0" fontId="20" fillId="0" borderId="0" xfId="0" applyFont="1" applyAlignment="1">
      <alignment horizontal="right"/>
    </xf>
    <xf numFmtId="0" fontId="9" fillId="0" borderId="23" xfId="520" applyFont="1" applyBorder="1" applyAlignment="1">
      <alignment vertical="center"/>
    </xf>
    <xf numFmtId="0" fontId="8" fillId="0" borderId="23" xfId="0" applyFont="1" applyBorder="1" applyAlignment="1">
      <alignment vertical="center"/>
    </xf>
    <xf numFmtId="0" fontId="100" fillId="0" borderId="0" xfId="0" applyFont="1"/>
    <xf numFmtId="14" fontId="15" fillId="0" borderId="0" xfId="0" applyNumberFormat="1" applyFont="1" applyAlignment="1">
      <alignment vertical="center"/>
    </xf>
    <xf numFmtId="0" fontId="8" fillId="0" borderId="0" xfId="520" applyFont="1" applyAlignment="1">
      <alignment vertical="center"/>
    </xf>
    <xf numFmtId="14" fontId="15" fillId="0" borderId="0" xfId="0" applyNumberFormat="1" applyFont="1" applyAlignment="1">
      <alignment horizontal="left" vertical="center"/>
    </xf>
    <xf numFmtId="0" fontId="15" fillId="0" borderId="0" xfId="0" applyFont="1" applyAlignment="1">
      <alignment horizontal="left" vertical="center"/>
    </xf>
    <xf numFmtId="0" fontId="8" fillId="0" borderId="0" xfId="519" applyFont="1" applyAlignment="1">
      <alignment horizontal="center" vertical="center"/>
    </xf>
    <xf numFmtId="167" fontId="15" fillId="0" borderId="0" xfId="0" applyNumberFormat="1" applyFont="1" applyAlignment="1">
      <alignment horizontal="center" vertical="center"/>
    </xf>
    <xf numFmtId="0" fontId="15" fillId="0" borderId="23" xfId="0" applyFont="1" applyBorder="1" applyAlignment="1">
      <alignment vertical="center"/>
    </xf>
    <xf numFmtId="1" fontId="15" fillId="0" borderId="0" xfId="0" applyNumberFormat="1" applyFont="1" applyAlignment="1">
      <alignment vertical="center"/>
    </xf>
    <xf numFmtId="0" fontId="9" fillId="0" borderId="0" xfId="0" applyFont="1" applyAlignment="1">
      <alignment vertical="center"/>
    </xf>
    <xf numFmtId="0" fontId="9" fillId="0" borderId="42" xfId="520" applyFont="1" applyBorder="1" applyAlignment="1">
      <alignment vertical="center"/>
    </xf>
    <xf numFmtId="1" fontId="15" fillId="0" borderId="27" xfId="0" applyNumberFormat="1" applyFont="1" applyBorder="1" applyAlignment="1">
      <alignment vertical="center"/>
    </xf>
    <xf numFmtId="167" fontId="8" fillId="0" borderId="27" xfId="0" applyNumberFormat="1" applyFont="1" applyBorder="1" applyAlignment="1">
      <alignment horizontal="center" vertical="center"/>
    </xf>
    <xf numFmtId="0" fontId="8" fillId="0" borderId="25" xfId="0" applyFont="1" applyBorder="1" applyAlignment="1">
      <alignment vertical="center"/>
    </xf>
    <xf numFmtId="0" fontId="8" fillId="0" borderId="26" xfId="520" applyFont="1" applyBorder="1" applyAlignment="1">
      <alignment vertical="center"/>
    </xf>
    <xf numFmtId="1" fontId="15" fillId="0" borderId="19" xfId="0" applyNumberFormat="1" applyFont="1" applyBorder="1" applyAlignment="1">
      <alignment vertical="center"/>
    </xf>
    <xf numFmtId="167" fontId="8" fillId="0" borderId="19" xfId="0" applyNumberFormat="1" applyFont="1" applyBorder="1" applyAlignment="1">
      <alignment horizontal="center" vertical="center"/>
    </xf>
    <xf numFmtId="0" fontId="15" fillId="0" borderId="25" xfId="0" applyFont="1" applyBorder="1" applyAlignment="1">
      <alignment vertical="center"/>
    </xf>
    <xf numFmtId="0" fontId="8" fillId="0" borderId="29" xfId="520" applyFont="1" applyBorder="1" applyAlignment="1">
      <alignment vertical="center"/>
    </xf>
    <xf numFmtId="0" fontId="8" fillId="0" borderId="24" xfId="0" applyFont="1" applyBorder="1" applyAlignment="1">
      <alignment vertical="center"/>
    </xf>
    <xf numFmtId="1" fontId="15" fillId="0" borderId="24" xfId="0" applyNumberFormat="1" applyFont="1" applyBorder="1" applyAlignment="1">
      <alignment vertical="center"/>
    </xf>
    <xf numFmtId="167" fontId="8" fillId="0" borderId="24" xfId="0" applyNumberFormat="1" applyFont="1" applyBorder="1" applyAlignment="1">
      <alignment horizontal="center" vertical="center"/>
    </xf>
    <xf numFmtId="0" fontId="15" fillId="0" borderId="24" xfId="0" applyFont="1" applyBorder="1" applyAlignment="1">
      <alignment vertical="center"/>
    </xf>
    <xf numFmtId="0" fontId="15" fillId="0" borderId="21" xfId="0" applyFont="1" applyBorder="1" applyAlignment="1">
      <alignment vertical="center"/>
    </xf>
    <xf numFmtId="167" fontId="8" fillId="0" borderId="0" xfId="0" applyNumberFormat="1" applyFont="1" applyAlignment="1">
      <alignment horizontal="center" vertical="center"/>
    </xf>
    <xf numFmtId="0" fontId="8" fillId="0" borderId="0" xfId="0" applyFont="1" applyAlignment="1">
      <alignment vertical="center" wrapText="1"/>
    </xf>
    <xf numFmtId="0" fontId="9" fillId="0" borderId="23" xfId="0" applyFont="1" applyBorder="1" applyAlignment="1">
      <alignment vertical="center" wrapText="1"/>
    </xf>
    <xf numFmtId="0" fontId="8" fillId="0" borderId="19" xfId="0" applyFont="1" applyBorder="1" applyAlignment="1">
      <alignment vertical="center" wrapText="1"/>
    </xf>
    <xf numFmtId="167" fontId="26" fillId="0" borderId="19" xfId="0" applyNumberFormat="1" applyFont="1" applyBorder="1" applyAlignment="1">
      <alignment horizontal="center" vertical="center"/>
    </xf>
    <xf numFmtId="0" fontId="9" fillId="30" borderId="19" xfId="0" applyFont="1" applyFill="1" applyBorder="1" applyAlignment="1">
      <alignment horizontal="left" vertical="center"/>
    </xf>
    <xf numFmtId="14" fontId="15" fillId="0" borderId="19" xfId="0" applyNumberFormat="1" applyFont="1" applyBorder="1" applyAlignment="1">
      <alignment horizontal="center" vertical="center"/>
    </xf>
    <xf numFmtId="49" fontId="100" fillId="0" borderId="0" xfId="0" applyNumberFormat="1" applyFont="1"/>
    <xf numFmtId="168" fontId="8" fillId="0" borderId="0" xfId="517" applyNumberFormat="1" applyFont="1"/>
    <xf numFmtId="0" fontId="34" fillId="0" borderId="0" xfId="518" applyFont="1"/>
    <xf numFmtId="0" fontId="34" fillId="0" borderId="0" xfId="517" applyFont="1"/>
    <xf numFmtId="0" fontId="8" fillId="74" borderId="0" xfId="0" applyFont="1" applyFill="1" applyAlignment="1">
      <alignment vertical="center"/>
    </xf>
    <xf numFmtId="14" fontId="8" fillId="0" borderId="19" xfId="0" quotePrefix="1" applyNumberFormat="1" applyFont="1" applyBorder="1" applyAlignment="1">
      <alignment horizontal="center" vertical="center"/>
    </xf>
    <xf numFmtId="14" fontId="8" fillId="0" borderId="19" xfId="0" applyNumberFormat="1" applyFont="1" applyBorder="1" applyAlignment="1">
      <alignment horizontal="center" vertical="center"/>
    </xf>
    <xf numFmtId="0" fontId="15" fillId="0" borderId="19" xfId="0" quotePrefix="1" applyFont="1" applyBorder="1" applyAlignment="1">
      <alignment vertical="center"/>
    </xf>
    <xf numFmtId="0" fontId="17" fillId="0" borderId="0" xfId="0" quotePrefix="1" applyFont="1" applyAlignment="1">
      <alignment vertical="center"/>
    </xf>
    <xf numFmtId="0" fontId="73" fillId="79" borderId="19" xfId="0" applyFont="1" applyFill="1" applyBorder="1" applyAlignment="1">
      <alignment horizontal="left" vertical="center" wrapText="1"/>
    </xf>
    <xf numFmtId="9" fontId="73" fillId="79" borderId="19" xfId="0" applyNumberFormat="1" applyFont="1" applyFill="1" applyBorder="1" applyAlignment="1">
      <alignment horizontal="center" vertical="center"/>
    </xf>
    <xf numFmtId="9" fontId="73" fillId="79" borderId="19" xfId="0" applyNumberFormat="1" applyFont="1" applyFill="1" applyBorder="1" applyAlignment="1">
      <alignment horizontal="center" vertical="center" wrapText="1"/>
    </xf>
    <xf numFmtId="1" fontId="73" fillId="79" borderId="19" xfId="0" applyNumberFormat="1" applyFont="1" applyFill="1" applyBorder="1" applyAlignment="1">
      <alignment horizontal="center" vertical="center"/>
    </xf>
    <xf numFmtId="10" fontId="73" fillId="79" borderId="19" xfId="0" applyNumberFormat="1" applyFont="1" applyFill="1" applyBorder="1" applyAlignment="1">
      <alignment horizontal="center" vertical="center"/>
    </xf>
    <xf numFmtId="0" fontId="73" fillId="79" borderId="19" xfId="0" applyFont="1" applyFill="1" applyBorder="1" applyAlignment="1">
      <alignment horizontal="left" vertical="center"/>
    </xf>
    <xf numFmtId="0" fontId="16" fillId="0" borderId="0" xfId="0" applyFont="1" applyAlignment="1">
      <alignment horizontal="left" vertical="center"/>
    </xf>
    <xf numFmtId="0" fontId="8" fillId="0" borderId="0" xfId="0" applyFont="1" applyAlignment="1">
      <alignment wrapText="1"/>
    </xf>
    <xf numFmtId="0" fontId="15" fillId="0" borderId="19" xfId="0" applyFont="1" applyBorder="1" applyAlignment="1">
      <alignment vertical="center" wrapText="1"/>
    </xf>
    <xf numFmtId="0" fontId="8" fillId="0" borderId="23" xfId="0" applyFont="1" applyBorder="1" applyAlignment="1">
      <alignment wrapText="1"/>
    </xf>
    <xf numFmtId="0" fontId="8" fillId="0" borderId="22" xfId="0" applyFont="1" applyBorder="1" applyAlignment="1">
      <alignment wrapText="1"/>
    </xf>
    <xf numFmtId="0" fontId="15" fillId="0" borderId="19" xfId="0" applyFont="1" applyBorder="1" applyAlignment="1">
      <alignment horizontal="center" wrapText="1"/>
    </xf>
    <xf numFmtId="0" fontId="8" fillId="0" borderId="0" xfId="485" applyFont="1"/>
    <xf numFmtId="0" fontId="20" fillId="0" borderId="0" xfId="0" applyFont="1" applyAlignment="1">
      <alignment wrapText="1"/>
    </xf>
    <xf numFmtId="0" fontId="20" fillId="0" borderId="0" xfId="0" applyFont="1" applyAlignment="1">
      <alignment horizontal="center" wrapText="1"/>
    </xf>
    <xf numFmtId="14" fontId="15" fillId="81" borderId="0" xfId="0" applyNumberFormat="1" applyFont="1" applyFill="1" applyAlignment="1">
      <alignment horizontal="left" vertical="center"/>
    </xf>
    <xf numFmtId="0" fontId="143" fillId="0" borderId="0" xfId="0" applyFont="1"/>
    <xf numFmtId="0" fontId="129" fillId="78" borderId="0" xfId="0" applyFont="1" applyFill="1"/>
    <xf numFmtId="0" fontId="130" fillId="78" borderId="0" xfId="0" applyFont="1" applyFill="1"/>
    <xf numFmtId="0" fontId="132" fillId="78" borderId="0" xfId="0" applyFont="1" applyFill="1" applyAlignment="1">
      <alignment wrapText="1"/>
    </xf>
    <xf numFmtId="0" fontId="8" fillId="0" borderId="71" xfId="0" applyFont="1" applyBorder="1" applyAlignment="1">
      <alignment vertical="center"/>
    </xf>
    <xf numFmtId="0" fontId="8" fillId="82" borderId="30" xfId="0" applyFont="1" applyFill="1" applyBorder="1" applyAlignment="1">
      <alignment horizontal="center" vertical="center"/>
    </xf>
    <xf numFmtId="0" fontId="8" fillId="82" borderId="30" xfId="0" applyFont="1" applyFill="1" applyBorder="1" applyAlignment="1">
      <alignment vertical="center"/>
    </xf>
    <xf numFmtId="0" fontId="15" fillId="82" borderId="30" xfId="0" applyFont="1" applyFill="1" applyBorder="1" applyAlignment="1">
      <alignment vertical="center"/>
    </xf>
    <xf numFmtId="0" fontId="15" fillId="82" borderId="31" xfId="0" applyFont="1" applyFill="1" applyBorder="1" applyAlignment="1">
      <alignment horizontal="center" vertical="center"/>
    </xf>
    <xf numFmtId="0" fontId="8" fillId="82" borderId="19" xfId="0" applyFont="1" applyFill="1" applyBorder="1" applyAlignment="1">
      <alignment horizontal="center" vertical="center"/>
    </xf>
    <xf numFmtId="0" fontId="8" fillId="82" borderId="19" xfId="0" applyFont="1" applyFill="1" applyBorder="1" applyAlignment="1">
      <alignment vertical="center"/>
    </xf>
    <xf numFmtId="0" fontId="15" fillId="82" borderId="19" xfId="0" applyFont="1" applyFill="1" applyBorder="1" applyAlignment="1">
      <alignment vertical="center"/>
    </xf>
    <xf numFmtId="0" fontId="15" fillId="82" borderId="34" xfId="0" applyFont="1" applyFill="1" applyBorder="1" applyAlignment="1">
      <alignment horizontal="center" vertical="center"/>
    </xf>
    <xf numFmtId="0" fontId="8" fillId="82" borderId="24" xfId="0" applyFont="1" applyFill="1" applyBorder="1" applyAlignment="1">
      <alignment horizontal="center" vertical="center"/>
    </xf>
    <xf numFmtId="0" fontId="8" fillId="82" borderId="27" xfId="0" applyFont="1" applyFill="1" applyBorder="1" applyAlignment="1">
      <alignment vertical="center"/>
    </xf>
    <xf numFmtId="0" fontId="15" fillId="82" borderId="24" xfId="0" applyFont="1" applyFill="1" applyBorder="1" applyAlignment="1">
      <alignment vertical="center"/>
    </xf>
    <xf numFmtId="0" fontId="15" fillId="82" borderId="38" xfId="0" applyFont="1" applyFill="1" applyBorder="1" applyAlignment="1">
      <alignment horizontal="center" vertical="center"/>
    </xf>
    <xf numFmtId="0" fontId="8" fillId="82" borderId="45" xfId="0" applyFont="1" applyFill="1" applyBorder="1" applyAlignment="1">
      <alignment vertical="center"/>
    </xf>
    <xf numFmtId="0" fontId="8" fillId="82" borderId="27" xfId="0" applyFont="1" applyFill="1" applyBorder="1" applyAlignment="1">
      <alignment horizontal="center" vertical="center"/>
    </xf>
    <xf numFmtId="0" fontId="15" fillId="82" borderId="27" xfId="0" applyFont="1" applyFill="1" applyBorder="1" applyAlignment="1">
      <alignment vertical="center"/>
    </xf>
    <xf numFmtId="0" fontId="15" fillId="82" borderId="44" xfId="0" applyFont="1" applyFill="1" applyBorder="1" applyAlignment="1">
      <alignment horizontal="center" vertical="center"/>
    </xf>
    <xf numFmtId="0" fontId="8" fillId="82" borderId="37" xfId="0" applyFont="1" applyFill="1" applyBorder="1" applyAlignment="1">
      <alignment horizontal="center" vertical="center"/>
    </xf>
    <xf numFmtId="0" fontId="8" fillId="82" borderId="37" xfId="0" applyFont="1" applyFill="1" applyBorder="1" applyAlignment="1">
      <alignment vertical="center"/>
    </xf>
    <xf numFmtId="0" fontId="15" fillId="82" borderId="37" xfId="0" applyFont="1" applyFill="1" applyBorder="1" applyAlignment="1">
      <alignment vertical="center"/>
    </xf>
    <xf numFmtId="0" fontId="15" fillId="82" borderId="39" xfId="0" applyFont="1" applyFill="1" applyBorder="1" applyAlignment="1">
      <alignment horizontal="center" vertical="center"/>
    </xf>
    <xf numFmtId="0" fontId="8" fillId="0" borderId="58" xfId="0" applyFont="1" applyBorder="1" applyAlignment="1">
      <alignment vertical="center"/>
    </xf>
    <xf numFmtId="0" fontId="8" fillId="82" borderId="24" xfId="0" applyFont="1" applyFill="1" applyBorder="1" applyAlignment="1">
      <alignment vertical="center"/>
    </xf>
    <xf numFmtId="0" fontId="8" fillId="82" borderId="36" xfId="0" applyFont="1" applyFill="1" applyBorder="1" applyAlignment="1">
      <alignment horizontal="center" vertical="center"/>
    </xf>
    <xf numFmtId="0" fontId="8" fillId="82" borderId="36" xfId="0" applyFont="1" applyFill="1" applyBorder="1" applyAlignment="1">
      <alignment vertical="center"/>
    </xf>
    <xf numFmtId="0" fontId="15" fillId="82" borderId="36" xfId="0" applyFont="1" applyFill="1" applyBorder="1" applyAlignment="1">
      <alignment vertical="center"/>
    </xf>
    <xf numFmtId="0" fontId="15" fillId="82" borderId="35" xfId="0" applyFont="1" applyFill="1" applyBorder="1" applyAlignment="1">
      <alignment horizontal="center" vertical="center"/>
    </xf>
    <xf numFmtId="0" fontId="8" fillId="0" borderId="52" xfId="0" applyFont="1" applyBorder="1" applyAlignment="1">
      <alignment horizontal="center" vertical="center"/>
    </xf>
    <xf numFmtId="0" fontId="8" fillId="83" borderId="0" xfId="520" applyFont="1" applyFill="1" applyAlignment="1">
      <alignment vertical="center"/>
    </xf>
    <xf numFmtId="0" fontId="15" fillId="83" borderId="0" xfId="0" applyFont="1" applyFill="1" applyAlignment="1">
      <alignment vertical="center"/>
    </xf>
    <xf numFmtId="0" fontId="15" fillId="76" borderId="19" xfId="0" applyFont="1" applyFill="1" applyBorder="1" applyAlignment="1">
      <alignment horizontal="center"/>
    </xf>
    <xf numFmtId="1" fontId="75" fillId="72" borderId="19" xfId="0" applyNumberFormat="1" applyFont="1" applyFill="1" applyBorder="1" applyAlignment="1">
      <alignment horizontal="center" vertical="center"/>
    </xf>
    <xf numFmtId="14" fontId="15" fillId="0" borderId="19" xfId="0" quotePrefix="1" applyNumberFormat="1" applyFont="1" applyBorder="1" applyAlignment="1">
      <alignment horizontal="center" vertical="center"/>
    </xf>
    <xf numFmtId="0" fontId="134" fillId="0" borderId="0" xfId="0" applyFont="1"/>
    <xf numFmtId="164" fontId="8" fillId="84" borderId="69" xfId="566" applyNumberFormat="1" applyFont="1" applyFill="1" applyBorder="1" applyAlignment="1" applyProtection="1">
      <alignment horizontal="center" vertical="center"/>
    </xf>
    <xf numFmtId="9" fontId="8" fillId="84" borderId="20" xfId="566" applyFont="1" applyFill="1" applyBorder="1" applyAlignment="1" applyProtection="1">
      <alignment horizontal="center" vertical="center"/>
    </xf>
    <xf numFmtId="164" fontId="8" fillId="85" borderId="64" xfId="566" applyNumberFormat="1" applyFont="1" applyFill="1" applyBorder="1" applyAlignment="1" applyProtection="1">
      <alignment horizontal="center" vertical="center"/>
    </xf>
    <xf numFmtId="164" fontId="8" fillId="85" borderId="32" xfId="566" applyNumberFormat="1" applyFont="1" applyFill="1" applyBorder="1" applyAlignment="1" applyProtection="1">
      <alignment horizontal="center" vertical="center"/>
    </xf>
    <xf numFmtId="164" fontId="8" fillId="0" borderId="69" xfId="566" applyNumberFormat="1" applyFont="1" applyFill="1" applyBorder="1" applyAlignment="1" applyProtection="1">
      <alignment horizontal="center" vertical="center"/>
    </xf>
    <xf numFmtId="164" fontId="8" fillId="87" borderId="68" xfId="566" applyNumberFormat="1" applyFont="1" applyFill="1" applyBorder="1" applyAlignment="1" applyProtection="1">
      <alignment horizontal="center" vertical="center"/>
    </xf>
    <xf numFmtId="164" fontId="8" fillId="87" borderId="33" xfId="566" applyNumberFormat="1" applyFont="1" applyFill="1" applyBorder="1" applyAlignment="1" applyProtection="1">
      <alignment horizontal="center" vertical="center"/>
    </xf>
    <xf numFmtId="164" fontId="8" fillId="87" borderId="69" xfId="566" applyNumberFormat="1" applyFont="1" applyFill="1" applyBorder="1" applyAlignment="1" applyProtection="1">
      <alignment horizontal="center" vertical="center"/>
    </xf>
    <xf numFmtId="164" fontId="8" fillId="87" borderId="20" xfId="566" applyNumberFormat="1" applyFont="1" applyFill="1" applyBorder="1" applyAlignment="1" applyProtection="1">
      <alignment horizontal="center" vertical="center"/>
    </xf>
    <xf numFmtId="164" fontId="8" fillId="0" borderId="33" xfId="566" applyNumberFormat="1" applyFont="1" applyFill="1" applyBorder="1" applyAlignment="1" applyProtection="1">
      <alignment horizontal="center" vertical="top"/>
    </xf>
    <xf numFmtId="0" fontId="103" fillId="0" borderId="0" xfId="0" applyFont="1" applyAlignment="1">
      <alignment horizontal="left" wrapText="1"/>
    </xf>
    <xf numFmtId="0" fontId="19" fillId="0" borderId="0" xfId="485" applyFont="1" applyAlignment="1">
      <alignment horizontal="center" vertical="center"/>
    </xf>
    <xf numFmtId="0" fontId="8" fillId="0" borderId="0" xfId="0" applyFont="1" applyAlignment="1">
      <alignment horizontal="left"/>
    </xf>
    <xf numFmtId="0" fontId="17" fillId="0" borderId="0" xfId="0" applyFont="1" applyAlignment="1">
      <alignment vertical="top" wrapText="1"/>
    </xf>
    <xf numFmtId="0" fontId="15" fillId="0" borderId="23" xfId="0" applyFont="1" applyBorder="1" applyAlignment="1">
      <alignment vertical="center" wrapText="1"/>
    </xf>
    <xf numFmtId="0" fontId="75" fillId="0" borderId="19" xfId="0" applyFont="1" applyBorder="1" applyAlignment="1">
      <alignment vertical="center" wrapText="1"/>
    </xf>
    <xf numFmtId="0" fontId="20" fillId="0" borderId="0" xfId="0" applyFont="1" applyAlignment="1">
      <alignment vertical="top" wrapText="1"/>
    </xf>
    <xf numFmtId="0" fontId="103" fillId="0" borderId="0" xfId="0" applyFont="1"/>
    <xf numFmtId="0" fontId="152" fillId="0" borderId="0" xfId="0" applyFont="1" applyAlignment="1">
      <alignment horizontal="left"/>
    </xf>
    <xf numFmtId="0" fontId="5" fillId="0" borderId="19" xfId="0" applyFont="1" applyBorder="1" applyAlignment="1">
      <alignment horizontal="center" vertical="center" wrapText="1"/>
    </xf>
    <xf numFmtId="0" fontId="19" fillId="0" borderId="0" xfId="0" applyFont="1" applyAlignment="1">
      <alignment horizontal="left" vertical="center"/>
    </xf>
    <xf numFmtId="0" fontId="5" fillId="0" borderId="0" xfId="0" applyFont="1" applyAlignment="1">
      <alignment horizontal="center" vertical="center"/>
    </xf>
    <xf numFmtId="0" fontId="19" fillId="89" borderId="34" xfId="0" applyFont="1" applyFill="1" applyBorder="1" applyAlignment="1" applyProtection="1">
      <alignment horizontal="center" vertical="center" wrapText="1"/>
      <protection locked="0"/>
    </xf>
    <xf numFmtId="0" fontId="19" fillId="89" borderId="31" xfId="0" applyFont="1" applyFill="1" applyBorder="1" applyAlignment="1" applyProtection="1">
      <alignment horizontal="center" vertical="center" wrapText="1"/>
      <protection locked="0"/>
    </xf>
    <xf numFmtId="0" fontId="16" fillId="0" borderId="19" xfId="0" applyFont="1" applyBorder="1" applyAlignment="1">
      <alignment vertical="center"/>
    </xf>
    <xf numFmtId="14" fontId="75" fillId="0" borderId="0" xfId="0" applyNumberFormat="1" applyFont="1" applyAlignment="1">
      <alignment horizontal="left" vertical="center"/>
    </xf>
    <xf numFmtId="0" fontId="12" fillId="0" borderId="84"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4" xfId="0" applyFont="1" applyBorder="1" applyAlignment="1">
      <alignment horizontal="center" vertical="center" wrapText="1"/>
    </xf>
    <xf numFmtId="49" fontId="19" fillId="39" borderId="19" xfId="485" applyNumberFormat="1" applyFont="1" applyFill="1" applyBorder="1" applyAlignment="1" applyProtection="1">
      <alignment vertical="center" wrapText="1"/>
      <protection locked="0"/>
    </xf>
    <xf numFmtId="49" fontId="19" fillId="39" borderId="30" xfId="485" applyNumberFormat="1" applyFont="1" applyFill="1" applyBorder="1" applyAlignment="1" applyProtection="1">
      <alignment vertical="center" wrapText="1"/>
      <protection locked="0"/>
    </xf>
    <xf numFmtId="49" fontId="19" fillId="39" borderId="34" xfId="485" applyNumberFormat="1" applyFont="1" applyFill="1" applyBorder="1" applyAlignment="1" applyProtection="1">
      <alignment vertical="center" wrapText="1"/>
      <protection locked="0"/>
    </xf>
    <xf numFmtId="49" fontId="19" fillId="39" borderId="31" xfId="485" applyNumberFormat="1" applyFont="1" applyFill="1" applyBorder="1" applyAlignment="1" applyProtection="1">
      <alignment vertical="center" wrapText="1"/>
      <protection locked="0"/>
    </xf>
    <xf numFmtId="0" fontId="12" fillId="0" borderId="0" xfId="0" applyFont="1" applyAlignment="1">
      <alignment vertical="center"/>
    </xf>
    <xf numFmtId="0" fontId="19" fillId="89" borderId="19" xfId="0" applyFont="1" applyFill="1" applyBorder="1" applyAlignment="1" applyProtection="1">
      <alignment horizontal="left" vertical="center" wrapText="1"/>
      <protection locked="0"/>
    </xf>
    <xf numFmtId="0" fontId="19" fillId="89" borderId="30" xfId="0" applyFont="1" applyFill="1" applyBorder="1" applyAlignment="1" applyProtection="1">
      <alignment horizontal="left" vertical="center" wrapText="1"/>
      <protection locked="0"/>
    </xf>
    <xf numFmtId="49" fontId="19" fillId="39" borderId="47" xfId="485" applyNumberFormat="1" applyFont="1" applyFill="1" applyBorder="1" applyAlignment="1" applyProtection="1">
      <alignment horizontal="left" vertical="center" wrapText="1"/>
      <protection locked="0"/>
    </xf>
    <xf numFmtId="49" fontId="19" fillId="39" borderId="48" xfId="485" applyNumberFormat="1" applyFont="1" applyFill="1" applyBorder="1" applyAlignment="1" applyProtection="1">
      <alignment horizontal="left" vertical="center" wrapText="1"/>
      <protection locked="0"/>
    </xf>
    <xf numFmtId="1" fontId="12" fillId="0" borderId="20" xfId="0" applyNumberFormat="1" applyFont="1" applyBorder="1" applyAlignment="1">
      <alignment horizontal="center" vertical="center"/>
    </xf>
    <xf numFmtId="1" fontId="19" fillId="39" borderId="19" xfId="485" applyNumberFormat="1" applyFont="1" applyFill="1" applyBorder="1" applyAlignment="1" applyProtection="1">
      <alignment horizontal="center" vertical="center" wrapText="1"/>
      <protection locked="0"/>
    </xf>
    <xf numFmtId="1" fontId="19" fillId="39" borderId="30" xfId="485" applyNumberFormat="1" applyFont="1" applyFill="1" applyBorder="1" applyAlignment="1" applyProtection="1">
      <alignment horizontal="center" vertical="center" wrapText="1"/>
      <protection locked="0"/>
    </xf>
    <xf numFmtId="1" fontId="9" fillId="28" borderId="20" xfId="0" applyNumberFormat="1" applyFont="1" applyFill="1" applyBorder="1" applyAlignment="1">
      <alignment horizontal="center" vertical="center" wrapText="1"/>
    </xf>
    <xf numFmtId="10" fontId="9" fillId="27" borderId="20" xfId="397" applyNumberFormat="1" applyFont="1" applyFill="1" applyBorder="1" applyAlignment="1" applyProtection="1">
      <alignment horizontal="center" vertical="center" wrapText="1"/>
    </xf>
    <xf numFmtId="0" fontId="19" fillId="89" borderId="35" xfId="0" applyFont="1" applyFill="1" applyBorder="1" applyAlignment="1" applyProtection="1">
      <alignment horizontal="center" vertical="center" wrapText="1"/>
      <protection locked="0"/>
    </xf>
    <xf numFmtId="0" fontId="12" fillId="0" borderId="87" xfId="0" applyFont="1" applyBorder="1" applyAlignment="1">
      <alignment horizontal="center" vertical="center" wrapText="1"/>
    </xf>
    <xf numFmtId="49" fontId="19" fillId="39" borderId="46" xfId="485" applyNumberFormat="1" applyFont="1" applyFill="1" applyBorder="1" applyAlignment="1" applyProtection="1">
      <alignment horizontal="left" vertical="center" wrapText="1"/>
      <protection locked="0"/>
    </xf>
    <xf numFmtId="49" fontId="19" fillId="39" borderId="36" xfId="485" applyNumberFormat="1" applyFont="1" applyFill="1" applyBorder="1" applyAlignment="1" applyProtection="1">
      <alignment vertical="center" wrapText="1"/>
      <protection locked="0"/>
    </xf>
    <xf numFmtId="0" fontId="19" fillId="89" borderId="36" xfId="0" applyFont="1" applyFill="1" applyBorder="1" applyAlignment="1" applyProtection="1">
      <alignment horizontal="left" vertical="center" wrapText="1"/>
      <protection locked="0"/>
    </xf>
    <xf numFmtId="49" fontId="19" fillId="39" borderId="35" xfId="485" applyNumberFormat="1" applyFont="1" applyFill="1" applyBorder="1" applyAlignment="1" applyProtection="1">
      <alignment vertical="center" wrapText="1"/>
      <protection locked="0"/>
    </xf>
    <xf numFmtId="0" fontId="100" fillId="0" borderId="0" xfId="0" applyFont="1" applyAlignment="1">
      <alignment wrapText="1"/>
    </xf>
    <xf numFmtId="0" fontId="156" fillId="0" borderId="0" xfId="0" applyFont="1"/>
    <xf numFmtId="0" fontId="156" fillId="0" borderId="19" xfId="0" applyFont="1" applyBorder="1" applyAlignment="1">
      <alignment horizontal="left" vertical="center"/>
    </xf>
    <xf numFmtId="0" fontId="156" fillId="90" borderId="19" xfId="0" applyFont="1" applyFill="1" applyBorder="1" applyAlignment="1">
      <alignment horizontal="left" vertical="center"/>
    </xf>
    <xf numFmtId="0" fontId="156" fillId="78" borderId="19" xfId="0" applyFont="1" applyFill="1" applyBorder="1"/>
    <xf numFmtId="0" fontId="156" fillId="78" borderId="19" xfId="0" quotePrefix="1" applyFont="1" applyFill="1" applyBorder="1"/>
    <xf numFmtId="0" fontId="156" fillId="90" borderId="19" xfId="0" applyFont="1" applyFill="1" applyBorder="1"/>
    <xf numFmtId="0" fontId="156" fillId="0" borderId="19" xfId="0" applyFont="1" applyBorder="1" applyAlignment="1">
      <alignment horizontal="left" vertical="top" wrapText="1"/>
    </xf>
    <xf numFmtId="0" fontId="156" fillId="0" borderId="19" xfId="0" applyFont="1" applyBorder="1" applyAlignment="1">
      <alignment horizontal="left" vertical="top"/>
    </xf>
    <xf numFmtId="49" fontId="19" fillId="39" borderId="85" xfId="485" applyNumberFormat="1" applyFont="1" applyFill="1" applyBorder="1" applyAlignment="1" applyProtection="1">
      <alignment horizontal="left" vertical="center" wrapText="1"/>
      <protection locked="0"/>
    </xf>
    <xf numFmtId="49" fontId="19" fillId="39" borderId="86" xfId="485" applyNumberFormat="1" applyFont="1" applyFill="1" applyBorder="1" applyAlignment="1" applyProtection="1">
      <alignment horizontal="left" vertical="center" wrapText="1"/>
      <protection locked="0"/>
    </xf>
    <xf numFmtId="49" fontId="19" fillId="39" borderId="53" xfId="485" applyNumberFormat="1" applyFont="1" applyFill="1" applyBorder="1" applyAlignment="1" applyProtection="1">
      <alignment horizontal="left" vertical="center" wrapText="1"/>
      <protection locked="0"/>
    </xf>
    <xf numFmtId="49" fontId="19" fillId="39" borderId="23" xfId="485" applyNumberFormat="1" applyFont="1" applyFill="1" applyBorder="1" applyAlignment="1" applyProtection="1">
      <alignment horizontal="left" vertical="center" wrapText="1"/>
      <protection locked="0"/>
    </xf>
    <xf numFmtId="49" fontId="19" fillId="39" borderId="54" xfId="485" applyNumberFormat="1" applyFont="1" applyFill="1" applyBorder="1" applyAlignment="1" applyProtection="1">
      <alignment horizontal="left" vertical="center" wrapText="1"/>
      <protection locked="0"/>
    </xf>
    <xf numFmtId="49" fontId="19" fillId="39" borderId="83" xfId="485" applyNumberFormat="1" applyFont="1" applyFill="1" applyBorder="1" applyAlignment="1" applyProtection="1">
      <alignment horizontal="left" vertical="center" wrapText="1"/>
      <protection locked="0"/>
    </xf>
    <xf numFmtId="49" fontId="19" fillId="39" borderId="36" xfId="485" applyNumberFormat="1" applyFont="1" applyFill="1" applyBorder="1" applyAlignment="1" applyProtection="1">
      <alignment horizontal="center" vertical="center" wrapText="1"/>
      <protection locked="0"/>
    </xf>
    <xf numFmtId="49" fontId="19" fillId="39" borderId="19" xfId="485" applyNumberFormat="1" applyFont="1" applyFill="1" applyBorder="1" applyAlignment="1" applyProtection="1">
      <alignment horizontal="center" vertical="center" wrapText="1"/>
      <protection locked="0"/>
    </xf>
    <xf numFmtId="49" fontId="19" fillId="39" borderId="30" xfId="485" applyNumberFormat="1" applyFont="1" applyFill="1" applyBorder="1" applyAlignment="1" applyProtection="1">
      <alignment horizontal="center" vertical="center" wrapText="1"/>
      <protection locked="0"/>
    </xf>
    <xf numFmtId="1" fontId="19" fillId="91" borderId="36" xfId="485" applyNumberFormat="1" applyFont="1" applyFill="1" applyBorder="1" applyAlignment="1" applyProtection="1">
      <alignment horizontal="center" vertical="center" wrapText="1"/>
      <protection locked="0"/>
    </xf>
    <xf numFmtId="0" fontId="156" fillId="0" borderId="19" xfId="0" applyFont="1" applyBorder="1" applyAlignment="1">
      <alignment horizontal="center" vertical="center"/>
    </xf>
    <xf numFmtId="0" fontId="156" fillId="0" borderId="19" xfId="0" applyFont="1" applyBorder="1" applyAlignment="1">
      <alignment horizontal="center" vertical="center" wrapText="1"/>
    </xf>
    <xf numFmtId="0" fontId="156" fillId="0" borderId="0" xfId="0" applyFont="1" applyAlignment="1">
      <alignment horizontal="center" vertical="center"/>
    </xf>
    <xf numFmtId="0" fontId="108" fillId="0" borderId="0" xfId="0" applyFont="1"/>
    <xf numFmtId="49" fontId="4" fillId="0" borderId="0" xfId="485" applyNumberFormat="1" applyAlignment="1">
      <alignment vertical="center"/>
    </xf>
    <xf numFmtId="0" fontId="8" fillId="0" borderId="22" xfId="485" applyFont="1" applyBorder="1"/>
    <xf numFmtId="0" fontId="15" fillId="0" borderId="22" xfId="0" applyFont="1" applyBorder="1"/>
    <xf numFmtId="0" fontId="8" fillId="27" borderId="19" xfId="0" applyFont="1" applyFill="1" applyBorder="1" applyAlignment="1">
      <alignment horizontal="left" vertical="center" wrapText="1"/>
    </xf>
    <xf numFmtId="0" fontId="8" fillId="27" borderId="19" xfId="0" applyFont="1" applyFill="1" applyBorder="1" applyAlignment="1">
      <alignment horizontal="left" vertical="center"/>
    </xf>
    <xf numFmtId="0" fontId="15" fillId="27" borderId="19" xfId="0" applyFont="1" applyFill="1" applyBorder="1" applyAlignment="1">
      <alignment vertical="center" wrapText="1"/>
    </xf>
    <xf numFmtId="0" fontId="15" fillId="27" borderId="19" xfId="0" applyFont="1" applyFill="1" applyBorder="1"/>
    <xf numFmtId="0" fontId="12" fillId="0" borderId="19" xfId="0" applyFont="1" applyBorder="1" applyAlignment="1">
      <alignment horizontal="left" vertical="center" wrapText="1"/>
    </xf>
    <xf numFmtId="0" fontId="9" fillId="27" borderId="23" xfId="485" applyFont="1" applyFill="1" applyBorder="1" applyAlignment="1">
      <alignment horizontal="center" vertical="center" wrapText="1"/>
    </xf>
    <xf numFmtId="0" fontId="9" fillId="27" borderId="22" xfId="485" applyFont="1" applyFill="1" applyBorder="1" applyAlignment="1">
      <alignment horizontal="center" vertical="center" wrapText="1"/>
    </xf>
    <xf numFmtId="0" fontId="9" fillId="27" borderId="26" xfId="485" applyFont="1" applyFill="1" applyBorder="1" applyAlignment="1">
      <alignment horizontal="center" vertical="center" wrapText="1"/>
    </xf>
    <xf numFmtId="0" fontId="8"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26" xfId="0" applyFont="1" applyBorder="1" applyAlignment="1">
      <alignment horizontal="left" vertical="center" wrapText="1"/>
    </xf>
    <xf numFmtId="0" fontId="17" fillId="0" borderId="0" xfId="0" applyFont="1" applyAlignment="1">
      <alignment horizontal="center" vertical="center" wrapText="1"/>
    </xf>
    <xf numFmtId="0" fontId="30" fillId="27" borderId="23" xfId="0" applyFont="1" applyFill="1" applyBorder="1" applyAlignment="1">
      <alignment vertical="center" wrapText="1"/>
    </xf>
    <xf numFmtId="0" fontId="30" fillId="27" borderId="22" xfId="0" applyFont="1" applyFill="1" applyBorder="1" applyAlignment="1">
      <alignment vertical="center" wrapText="1"/>
    </xf>
    <xf numFmtId="0" fontId="30" fillId="27" borderId="26" xfId="0" applyFont="1" applyFill="1" applyBorder="1"/>
    <xf numFmtId="0" fontId="8" fillId="27" borderId="23"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6" xfId="0" applyFont="1" applyBorder="1" applyAlignment="1">
      <alignment horizontal="left" vertical="center" wrapText="1"/>
    </xf>
    <xf numFmtId="0" fontId="8" fillId="0" borderId="0" xfId="0" applyFont="1" applyAlignment="1">
      <alignment horizontal="justify" wrapText="1"/>
    </xf>
    <xf numFmtId="0" fontId="22" fillId="0" borderId="0" xfId="0" applyFont="1" applyAlignment="1">
      <alignment horizontal="justify"/>
    </xf>
    <xf numFmtId="0" fontId="43" fillId="0" borderId="0" xfId="0" applyFont="1" applyAlignment="1">
      <alignment horizontal="left"/>
    </xf>
    <xf numFmtId="0" fontId="15" fillId="0" borderId="0" xfId="0" applyFont="1" applyAlignment="1">
      <alignment horizontal="justify" wrapText="1"/>
    </xf>
    <xf numFmtId="0" fontId="43" fillId="0" borderId="0" xfId="0" applyFont="1" applyAlignment="1">
      <alignment horizontal="justify"/>
    </xf>
    <xf numFmtId="0" fontId="15" fillId="0" borderId="0" xfId="0" applyFont="1" applyAlignment="1">
      <alignment horizontal="justify" vertical="center" wrapText="1"/>
    </xf>
    <xf numFmtId="0" fontId="15" fillId="0" borderId="0" xfId="0" applyFont="1" applyAlignment="1">
      <alignment horizontal="justify" vertical="top" wrapText="1"/>
    </xf>
    <xf numFmtId="0" fontId="133" fillId="0" borderId="0" xfId="0" applyFont="1" applyAlignment="1">
      <alignment horizontal="justify" vertical="top"/>
    </xf>
    <xf numFmtId="0" fontId="15" fillId="0" borderId="0" xfId="0" applyFont="1" applyAlignment="1">
      <alignment horizontal="left" vertical="top" wrapText="1"/>
    </xf>
    <xf numFmtId="0" fontId="4" fillId="27" borderId="23" xfId="485" applyFill="1" applyBorder="1" applyAlignment="1">
      <alignment horizontal="center" vertical="center" wrapText="1"/>
    </xf>
    <xf numFmtId="0" fontId="4" fillId="27" borderId="22" xfId="485" applyFill="1" applyBorder="1" applyAlignment="1">
      <alignment horizontal="center" vertical="center" wrapText="1"/>
    </xf>
    <xf numFmtId="0" fontId="4" fillId="27" borderId="26" xfId="485" applyFill="1" applyBorder="1" applyAlignment="1">
      <alignment horizontal="center" vertical="center" wrapText="1"/>
    </xf>
    <xf numFmtId="0" fontId="4" fillId="0" borderId="23" xfId="485" applyBorder="1" applyAlignment="1">
      <alignment horizontal="center" vertical="center" wrapText="1"/>
    </xf>
    <xf numFmtId="0" fontId="4" fillId="0" borderId="22" xfId="485" applyBorder="1" applyAlignment="1">
      <alignment horizontal="center" vertical="center" wrapText="1"/>
    </xf>
    <xf numFmtId="0" fontId="4" fillId="0" borderId="26" xfId="485" applyBorder="1" applyAlignment="1">
      <alignment horizontal="center" vertical="center" wrapText="1"/>
    </xf>
    <xf numFmtId="0" fontId="8" fillId="0" borderId="0" xfId="0" applyFont="1" applyAlignment="1">
      <alignment horizontal="justify"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12" fillId="27" borderId="19" xfId="0" applyFont="1" applyFill="1" applyBorder="1" applyAlignment="1">
      <alignment horizontal="left" vertical="center" wrapText="1"/>
    </xf>
    <xf numFmtId="0" fontId="8" fillId="32" borderId="23" xfId="0" applyFont="1" applyFill="1" applyBorder="1" applyAlignment="1" applyProtection="1">
      <alignment horizontal="center" vertical="center" wrapText="1"/>
      <protection locked="0"/>
    </xf>
    <xf numFmtId="0" fontId="8" fillId="32" borderId="22" xfId="0" applyFont="1" applyFill="1" applyBorder="1" applyAlignment="1" applyProtection="1">
      <alignment horizontal="center" vertical="center" wrapText="1"/>
      <protection locked="0"/>
    </xf>
    <xf numFmtId="0" fontId="8" fillId="32" borderId="26" xfId="0" applyFont="1" applyFill="1" applyBorder="1" applyAlignment="1" applyProtection="1">
      <alignment horizontal="center" vertical="center" wrapText="1"/>
      <protection locked="0"/>
    </xf>
    <xf numFmtId="0" fontId="15" fillId="32" borderId="23" xfId="0" applyFont="1" applyFill="1" applyBorder="1" applyAlignment="1" applyProtection="1">
      <alignment horizontal="center" vertical="center" wrapText="1"/>
      <protection locked="0"/>
    </xf>
    <xf numFmtId="0" fontId="15" fillId="32" borderId="26" xfId="0" applyFont="1" applyFill="1" applyBorder="1" applyAlignment="1" applyProtection="1">
      <alignment horizontal="center" vertical="center" wrapText="1"/>
      <protection locked="0"/>
    </xf>
    <xf numFmtId="0" fontId="30" fillId="27" borderId="19" xfId="0" applyFont="1" applyFill="1" applyBorder="1" applyAlignment="1">
      <alignment vertical="center" wrapText="1"/>
    </xf>
    <xf numFmtId="0" fontId="30" fillId="27" borderId="19" xfId="0" applyFont="1" applyFill="1" applyBorder="1"/>
    <xf numFmtId="0" fontId="15" fillId="0" borderId="51" xfId="0" applyFont="1" applyBorder="1" applyAlignment="1">
      <alignment horizontal="center" vertical="top" wrapText="1"/>
    </xf>
    <xf numFmtId="0" fontId="15" fillId="0" borderId="0" xfId="0" applyFont="1" applyAlignment="1">
      <alignment horizontal="center" vertical="top" wrapText="1"/>
    </xf>
    <xf numFmtId="0" fontId="15" fillId="0" borderId="62" xfId="0" applyFont="1" applyBorder="1" applyAlignment="1">
      <alignment horizontal="center" vertical="top" wrapText="1"/>
    </xf>
    <xf numFmtId="0" fontId="15" fillId="0" borderId="25" xfId="0" applyFont="1" applyBorder="1" applyAlignment="1">
      <alignment horizontal="center" vertical="top" wrapText="1"/>
    </xf>
    <xf numFmtId="0" fontId="15" fillId="0" borderId="63" xfId="0" applyFont="1" applyBorder="1" applyAlignment="1">
      <alignment horizontal="center" vertical="top" wrapText="1"/>
    </xf>
    <xf numFmtId="0" fontId="15" fillId="0" borderId="42" xfId="0" applyFont="1" applyBorder="1" applyAlignment="1">
      <alignment horizontal="center" vertical="top" wrapText="1"/>
    </xf>
    <xf numFmtId="0" fontId="4" fillId="0" borderId="23" xfId="485" applyBorder="1" applyAlignment="1">
      <alignment horizontal="center" vertical="center"/>
    </xf>
    <xf numFmtId="0" fontId="4" fillId="0" borderId="22" xfId="485" applyBorder="1" applyAlignment="1">
      <alignment horizontal="center" vertical="center"/>
    </xf>
    <xf numFmtId="0" fontId="4" fillId="0" borderId="26" xfId="485" applyBorder="1" applyAlignment="1">
      <alignment horizontal="center" vertical="center"/>
    </xf>
    <xf numFmtId="0" fontId="26" fillId="0" borderId="23"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6" xfId="0" applyFont="1" applyBorder="1" applyAlignment="1">
      <alignment horizontal="center" vertical="center" wrapText="1"/>
    </xf>
    <xf numFmtId="0" fontId="4" fillId="39" borderId="23" xfId="485" applyFill="1" applyBorder="1" applyAlignment="1" applyProtection="1">
      <alignment horizontal="center" vertical="center"/>
      <protection locked="0"/>
    </xf>
    <xf numFmtId="0" fontId="4" fillId="39" borderId="22" xfId="485" applyFill="1" applyBorder="1" applyAlignment="1" applyProtection="1">
      <alignment horizontal="center" vertical="center"/>
      <protection locked="0"/>
    </xf>
    <xf numFmtId="0" fontId="4" fillId="39" borderId="26" xfId="485" applyFill="1" applyBorder="1" applyAlignment="1" applyProtection="1">
      <alignment horizontal="center" vertical="center"/>
      <protection locked="0"/>
    </xf>
    <xf numFmtId="0" fontId="105" fillId="0" borderId="63"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30" fillId="0" borderId="19" xfId="0" applyFont="1" applyBorder="1" applyAlignment="1">
      <alignment horizontal="left" vertical="center" wrapText="1"/>
    </xf>
    <xf numFmtId="49" fontId="4" fillId="39" borderId="23" xfId="485" applyNumberFormat="1" applyFill="1" applyBorder="1" applyAlignment="1" applyProtection="1">
      <alignment vertical="center"/>
      <protection locked="0"/>
    </xf>
    <xf numFmtId="49" fontId="4" fillId="39" borderId="22" xfId="485" applyNumberFormat="1" applyFill="1" applyBorder="1" applyAlignment="1" applyProtection="1">
      <alignment vertical="center"/>
      <protection locked="0"/>
    </xf>
    <xf numFmtId="49" fontId="4" fillId="39" borderId="26" xfId="485" applyNumberFormat="1" applyFill="1" applyBorder="1" applyAlignment="1" applyProtection="1">
      <alignment vertical="center"/>
      <protection locked="0"/>
    </xf>
    <xf numFmtId="0" fontId="4" fillId="39" borderId="23" xfId="485" applyNumberFormat="1" applyFill="1" applyBorder="1" applyAlignment="1" applyProtection="1">
      <alignment horizontal="left" vertical="center"/>
      <protection locked="0"/>
    </xf>
    <xf numFmtId="0" fontId="4" fillId="39" borderId="22" xfId="485" applyNumberFormat="1" applyFill="1" applyBorder="1" applyAlignment="1" applyProtection="1">
      <alignment horizontal="left" vertical="center"/>
      <protection locked="0"/>
    </xf>
    <xf numFmtId="0" fontId="4" fillId="39" borderId="26" xfId="485" applyNumberFormat="1" applyFill="1" applyBorder="1" applyAlignment="1" applyProtection="1">
      <alignment horizontal="left" vertical="center"/>
      <protection locked="0"/>
    </xf>
    <xf numFmtId="0" fontId="137" fillId="0" borderId="0" xfId="0" applyFont="1" applyAlignment="1">
      <alignment horizontal="center" vertical="top"/>
    </xf>
    <xf numFmtId="0" fontId="15" fillId="0" borderId="0" xfId="0" applyFont="1" applyAlignment="1">
      <alignment horizontal="center" vertical="top"/>
    </xf>
    <xf numFmtId="0" fontId="4" fillId="0" borderId="23" xfId="485" applyBorder="1" applyAlignment="1">
      <alignment vertical="center"/>
    </xf>
    <xf numFmtId="0" fontId="17" fillId="0" borderId="22" xfId="0" applyFont="1" applyBorder="1" applyAlignment="1">
      <alignment vertical="center"/>
    </xf>
    <xf numFmtId="0" fontId="17" fillId="0" borderId="26" xfId="0" applyFont="1" applyBorder="1" applyAlignment="1">
      <alignment vertical="center"/>
    </xf>
    <xf numFmtId="14" fontId="4" fillId="39" borderId="23" xfId="485" applyNumberFormat="1" applyFill="1" applyBorder="1" applyAlignment="1" applyProtection="1">
      <alignment horizontal="left" vertical="center"/>
      <protection locked="0"/>
    </xf>
    <xf numFmtId="14" fontId="4" fillId="39" borderId="22" xfId="485" applyNumberFormat="1" applyFill="1" applyBorder="1" applyAlignment="1" applyProtection="1">
      <alignment horizontal="left" vertical="center"/>
      <protection locked="0"/>
    </xf>
    <xf numFmtId="14" fontId="4" fillId="39" borderId="26" xfId="485" applyNumberFormat="1" applyFill="1" applyBorder="1" applyAlignment="1" applyProtection="1">
      <alignment horizontal="left" vertical="center"/>
      <protection locked="0"/>
    </xf>
    <xf numFmtId="0" fontId="17" fillId="27" borderId="23" xfId="0" applyFont="1" applyFill="1" applyBorder="1" applyAlignment="1">
      <alignment horizontal="center" vertical="center" wrapText="1"/>
    </xf>
    <xf numFmtId="0" fontId="17" fillId="27" borderId="26" xfId="0" applyFont="1" applyFill="1" applyBorder="1" applyAlignment="1">
      <alignment horizontal="center" vertical="center" wrapText="1"/>
    </xf>
    <xf numFmtId="14" fontId="4" fillId="39" borderId="23" xfId="485" applyNumberFormat="1" applyFill="1" applyBorder="1" applyAlignment="1" applyProtection="1">
      <alignment horizontal="center" vertical="center"/>
      <protection locked="0"/>
    </xf>
    <xf numFmtId="14" fontId="4" fillId="39" borderId="26" xfId="485" applyNumberFormat="1" applyFill="1" applyBorder="1" applyAlignment="1" applyProtection="1">
      <alignment horizontal="center" vertical="center"/>
      <protection locked="0"/>
    </xf>
    <xf numFmtId="14" fontId="4" fillId="0" borderId="23" xfId="485" applyNumberFormat="1" applyBorder="1" applyAlignment="1">
      <alignment horizontal="center" vertical="center"/>
    </xf>
    <xf numFmtId="14" fontId="4" fillId="0" borderId="26" xfId="485" applyNumberFormat="1" applyBorder="1" applyAlignment="1">
      <alignment horizontal="center" vertical="center"/>
    </xf>
    <xf numFmtId="0" fontId="4" fillId="39" borderId="23" xfId="485" applyFill="1" applyBorder="1" applyAlignment="1" applyProtection="1">
      <alignment horizontal="center" vertical="center" wrapText="1"/>
      <protection locked="0"/>
    </xf>
    <xf numFmtId="0" fontId="4" fillId="39" borderId="22" xfId="485" applyFill="1" applyBorder="1" applyAlignment="1" applyProtection="1">
      <alignment horizontal="center" vertical="center" wrapText="1"/>
      <protection locked="0"/>
    </xf>
    <xf numFmtId="0" fontId="4" fillId="39" borderId="26" xfId="485" applyFill="1" applyBorder="1" applyAlignment="1" applyProtection="1">
      <alignment horizontal="center" vertical="center" wrapText="1"/>
      <protection locked="0"/>
    </xf>
    <xf numFmtId="0" fontId="26" fillId="0" borderId="24" xfId="0" applyFont="1" applyBorder="1" applyAlignment="1">
      <alignment horizontal="center" vertical="center"/>
    </xf>
    <xf numFmtId="0" fontId="26" fillId="0" borderId="45" xfId="0" applyFont="1" applyBorder="1" applyAlignment="1">
      <alignment horizontal="center" vertical="center"/>
    </xf>
    <xf numFmtId="0" fontId="26" fillId="0" borderId="27" xfId="0" applyFont="1" applyBorder="1" applyAlignment="1">
      <alignment horizontal="center" vertical="center"/>
    </xf>
    <xf numFmtId="0" fontId="15" fillId="0" borderId="24" xfId="0" applyFont="1" applyBorder="1" applyAlignment="1">
      <alignment horizontal="center" vertical="top" wrapText="1"/>
    </xf>
    <xf numFmtId="0" fontId="15" fillId="0" borderId="27" xfId="0" applyFont="1" applyBorder="1" applyAlignment="1">
      <alignment horizontal="center" vertical="top" wrapText="1"/>
    </xf>
    <xf numFmtId="0" fontId="4" fillId="0" borderId="19" xfId="485" applyBorder="1" applyAlignment="1">
      <alignment horizontal="center" vertical="center"/>
    </xf>
    <xf numFmtId="0" fontId="19" fillId="0" borderId="0" xfId="0" applyFont="1" applyAlignment="1">
      <alignment horizontal="left" vertical="center" wrapText="1"/>
    </xf>
    <xf numFmtId="0" fontId="153" fillId="0" borderId="0" xfId="0" applyFont="1" applyAlignment="1">
      <alignment horizontal="left" vertical="center" wrapText="1"/>
    </xf>
    <xf numFmtId="0" fontId="8" fillId="0" borderId="60" xfId="0" applyFont="1" applyBorder="1" applyAlignment="1">
      <alignment horizontal="left" vertical="center" wrapText="1" readingOrder="1"/>
    </xf>
    <xf numFmtId="0" fontId="81" fillId="0" borderId="64" xfId="0" applyFont="1" applyBorder="1"/>
    <xf numFmtId="0" fontId="8" fillId="0" borderId="65" xfId="0" applyFont="1" applyBorder="1" applyAlignment="1">
      <alignment horizontal="left" vertical="center" wrapText="1" readingOrder="1"/>
    </xf>
    <xf numFmtId="0" fontId="81" fillId="0" borderId="66" xfId="0" applyFont="1" applyBorder="1"/>
    <xf numFmtId="0" fontId="8" fillId="0" borderId="67" xfId="0" applyFont="1" applyBorder="1" applyAlignment="1">
      <alignment horizontal="left" vertical="center" wrapText="1" readingOrder="1"/>
    </xf>
    <xf numFmtId="0" fontId="81" fillId="0" borderId="68" xfId="0" applyFont="1" applyBorder="1"/>
    <xf numFmtId="0" fontId="8" fillId="27" borderId="60" xfId="0" quotePrefix="1" applyFont="1" applyFill="1" applyBorder="1" applyAlignment="1">
      <alignment horizontal="left" vertical="center" wrapText="1" readingOrder="1"/>
    </xf>
    <xf numFmtId="0" fontId="81" fillId="0" borderId="64" xfId="0" applyFont="1" applyBorder="1" applyAlignment="1">
      <alignment horizontal="left" vertical="center" wrapText="1" readingOrder="1"/>
    </xf>
    <xf numFmtId="0" fontId="8" fillId="27" borderId="65" xfId="0" applyFont="1" applyFill="1" applyBorder="1" applyAlignment="1">
      <alignment horizontal="left" vertical="center" wrapText="1" readingOrder="1"/>
    </xf>
    <xf numFmtId="0" fontId="81" fillId="0" borderId="66" xfId="0" applyFont="1" applyBorder="1" applyAlignment="1">
      <alignment horizontal="left" vertical="center" wrapText="1" readingOrder="1"/>
    </xf>
    <xf numFmtId="0" fontId="8" fillId="27" borderId="67" xfId="0" applyFont="1" applyFill="1" applyBorder="1" applyAlignment="1">
      <alignment horizontal="left" vertical="center" wrapText="1" readingOrder="1"/>
    </xf>
    <xf numFmtId="0" fontId="81" fillId="0" borderId="68" xfId="0" applyFont="1" applyBorder="1" applyAlignment="1">
      <alignment horizontal="left" vertical="center" wrapText="1" readingOrder="1"/>
    </xf>
    <xf numFmtId="0" fontId="61" fillId="0" borderId="32"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33" xfId="0" applyFont="1" applyBorder="1" applyAlignment="1">
      <alignment horizontal="center" vertical="center" wrapText="1"/>
    </xf>
    <xf numFmtId="0" fontId="111" fillId="0" borderId="60" xfId="0" applyFont="1" applyBorder="1" applyAlignment="1">
      <alignment horizontal="center" vertical="center" wrapText="1"/>
    </xf>
    <xf numFmtId="0" fontId="111" fillId="0" borderId="64" xfId="0" applyFont="1" applyBorder="1" applyAlignment="1">
      <alignment horizontal="center" vertical="center" wrapText="1"/>
    </xf>
    <xf numFmtId="0" fontId="111" fillId="0" borderId="65" xfId="0" applyFont="1" applyBorder="1" applyAlignment="1">
      <alignment horizontal="center" vertical="center" wrapText="1"/>
    </xf>
    <xf numFmtId="0" fontId="111" fillId="0" borderId="66" xfId="0" applyFont="1" applyBorder="1" applyAlignment="1">
      <alignment horizontal="center" vertical="center" wrapText="1"/>
    </xf>
    <xf numFmtId="0" fontId="111" fillId="0" borderId="67" xfId="0" applyFont="1" applyBorder="1" applyAlignment="1">
      <alignment horizontal="center" vertical="center" wrapText="1"/>
    </xf>
    <xf numFmtId="0" fontId="111" fillId="0" borderId="68" xfId="0" applyFont="1" applyBorder="1" applyAlignment="1">
      <alignment horizontal="center" vertical="center" wrapText="1"/>
    </xf>
    <xf numFmtId="0" fontId="15" fillId="0" borderId="20" xfId="0" applyFont="1" applyBorder="1" applyAlignment="1">
      <alignment vertical="center" wrapText="1"/>
    </xf>
    <xf numFmtId="1" fontId="26" fillId="28" borderId="20" xfId="0" applyNumberFormat="1" applyFont="1" applyFill="1" applyBorder="1" applyAlignment="1">
      <alignment horizontal="center" vertical="center" wrapText="1"/>
    </xf>
    <xf numFmtId="0" fontId="31" fillId="35" borderId="20" xfId="0" applyFont="1" applyFill="1" applyBorder="1" applyAlignment="1">
      <alignment horizontal="center" vertical="center" wrapText="1"/>
    </xf>
    <xf numFmtId="0" fontId="108" fillId="0" borderId="20" xfId="0" applyFont="1" applyBorder="1" applyAlignment="1">
      <alignment horizontal="center" vertical="center" wrapText="1" readingOrder="1"/>
    </xf>
    <xf numFmtId="49" fontId="32" fillId="0" borderId="32" xfId="0" applyNumberFormat="1" applyFont="1" applyBorder="1" applyAlignment="1">
      <alignment horizontal="center" vertical="center" wrapText="1" readingOrder="1"/>
    </xf>
    <xf numFmtId="49" fontId="32" fillId="0" borderId="43" xfId="0" applyNumberFormat="1" applyFont="1" applyBorder="1" applyAlignment="1">
      <alignment horizontal="center" vertical="center" wrapText="1" readingOrder="1"/>
    </xf>
    <xf numFmtId="49" fontId="32" fillId="0" borderId="33" xfId="0" applyNumberFormat="1" applyFont="1" applyBorder="1" applyAlignment="1">
      <alignment horizontal="center" vertical="center" wrapText="1" readingOrder="1"/>
    </xf>
    <xf numFmtId="0" fontId="8" fillId="0" borderId="20" xfId="0" applyFont="1" applyBorder="1" applyAlignment="1">
      <alignment horizontal="left" vertical="center" wrapText="1" readingOrder="1"/>
    </xf>
    <xf numFmtId="0" fontId="8" fillId="0" borderId="60" xfId="0" quotePrefix="1" applyFont="1" applyBorder="1" applyAlignment="1">
      <alignment horizontal="left" vertical="center" wrapText="1" readingOrder="1"/>
    </xf>
    <xf numFmtId="0" fontId="108" fillId="0" borderId="60" xfId="0" applyFont="1" applyBorder="1" applyAlignment="1">
      <alignment horizontal="left" vertical="center" wrapText="1" readingOrder="1"/>
    </xf>
    <xf numFmtId="0" fontId="110" fillId="0" borderId="64" xfId="0" applyFont="1" applyBorder="1"/>
    <xf numFmtId="0" fontId="108" fillId="0" borderId="65" xfId="0" applyFont="1" applyBorder="1" applyAlignment="1">
      <alignment horizontal="left" vertical="center" wrapText="1" readingOrder="1"/>
    </xf>
    <xf numFmtId="0" fontId="110" fillId="0" borderId="66" xfId="0" applyFont="1" applyBorder="1"/>
    <xf numFmtId="0" fontId="108" fillId="0" borderId="67" xfId="0" applyFont="1" applyBorder="1" applyAlignment="1">
      <alignment horizontal="left" vertical="center" wrapText="1" readingOrder="1"/>
    </xf>
    <xf numFmtId="0" fontId="110" fillId="0" borderId="68" xfId="0" applyFont="1" applyBorder="1"/>
    <xf numFmtId="0" fontId="108" fillId="0" borderId="60" xfId="0" quotePrefix="1" applyFont="1" applyBorder="1" applyAlignment="1">
      <alignment horizontal="left" vertical="center" wrapText="1" readingOrder="1"/>
    </xf>
    <xf numFmtId="0" fontId="110" fillId="0" borderId="64" xfId="0" applyFont="1" applyBorder="1" applyAlignment="1">
      <alignment horizontal="left" vertical="center" wrapText="1" readingOrder="1"/>
    </xf>
    <xf numFmtId="0" fontId="110" fillId="0" borderId="66" xfId="0" applyFont="1" applyBorder="1" applyAlignment="1">
      <alignment horizontal="left" vertical="center" wrapText="1" readingOrder="1"/>
    </xf>
    <xf numFmtId="0" fontId="110" fillId="0" borderId="68" xfId="0" applyFont="1" applyBorder="1" applyAlignment="1">
      <alignment horizontal="left" vertical="center" wrapText="1" readingOrder="1"/>
    </xf>
    <xf numFmtId="49" fontId="109" fillId="0" borderId="32" xfId="0" applyNumberFormat="1" applyFont="1" applyBorder="1" applyAlignment="1">
      <alignment horizontal="center" vertical="center" wrapText="1" readingOrder="1"/>
    </xf>
    <xf numFmtId="49" fontId="109" fillId="0" borderId="43" xfId="0" applyNumberFormat="1" applyFont="1" applyBorder="1" applyAlignment="1">
      <alignment horizontal="center" vertical="center" wrapText="1" readingOrder="1"/>
    </xf>
    <xf numFmtId="49" fontId="109" fillId="0" borderId="33" xfId="0" applyNumberFormat="1" applyFont="1" applyBorder="1" applyAlignment="1">
      <alignment horizontal="center" vertical="center" wrapText="1" readingOrder="1"/>
    </xf>
    <xf numFmtId="0" fontId="8" fillId="0" borderId="0" xfId="0" applyFont="1" applyAlignment="1">
      <alignment horizontal="left" wrapText="1"/>
    </xf>
    <xf numFmtId="164" fontId="8" fillId="84" borderId="60" xfId="566" applyNumberFormat="1" applyFont="1" applyFill="1" applyBorder="1" applyAlignment="1" applyProtection="1">
      <alignment horizontal="center" vertical="center"/>
    </xf>
    <xf numFmtId="164" fontId="8" fillId="84" borderId="64" xfId="566" applyNumberFormat="1" applyFont="1" applyFill="1" applyBorder="1" applyAlignment="1" applyProtection="1">
      <alignment horizontal="center" vertical="center"/>
    </xf>
    <xf numFmtId="164" fontId="8" fillId="84" borderId="65" xfId="566" applyNumberFormat="1" applyFont="1" applyFill="1" applyBorder="1" applyAlignment="1" applyProtection="1">
      <alignment horizontal="center" vertical="center"/>
    </xf>
    <xf numFmtId="164" fontId="8" fillId="84" borderId="66" xfId="566" applyNumberFormat="1" applyFont="1" applyFill="1" applyBorder="1" applyAlignment="1" applyProtection="1">
      <alignment horizontal="center" vertical="center"/>
    </xf>
    <xf numFmtId="164" fontId="8" fillId="0" borderId="20" xfId="566" applyNumberFormat="1" applyFont="1" applyFill="1" applyBorder="1" applyAlignment="1" applyProtection="1">
      <alignment horizontal="center" vertical="center"/>
    </xf>
    <xf numFmtId="164" fontId="8" fillId="86" borderId="18" xfId="566" applyNumberFormat="1" applyFont="1" applyFill="1" applyBorder="1" applyAlignment="1" applyProtection="1">
      <alignment horizontal="left" vertical="center" wrapText="1"/>
    </xf>
    <xf numFmtId="164" fontId="8" fillId="86" borderId="81" xfId="566" applyNumberFormat="1" applyFont="1" applyFill="1" applyBorder="1" applyAlignment="1" applyProtection="1">
      <alignment horizontal="left" vertical="center" wrapText="1"/>
    </xf>
    <xf numFmtId="164" fontId="8" fillId="86" borderId="69" xfId="566" applyNumberFormat="1" applyFont="1" applyFill="1" applyBorder="1" applyAlignment="1" applyProtection="1">
      <alignment horizontal="left" vertical="center" wrapText="1"/>
    </xf>
    <xf numFmtId="164" fontId="8" fillId="87" borderId="60" xfId="566" applyNumberFormat="1" applyFont="1" applyFill="1" applyBorder="1" applyAlignment="1" applyProtection="1">
      <alignment horizontal="center" vertical="center"/>
    </xf>
    <xf numFmtId="164" fontId="8" fillId="87" borderId="64" xfId="566" applyNumberFormat="1" applyFont="1" applyFill="1" applyBorder="1" applyAlignment="1" applyProtection="1">
      <alignment horizontal="center" vertical="center"/>
    </xf>
    <xf numFmtId="164" fontId="8" fillId="87" borderId="67" xfId="566" applyNumberFormat="1" applyFont="1" applyFill="1" applyBorder="1" applyAlignment="1" applyProtection="1">
      <alignment horizontal="center" vertical="center"/>
    </xf>
    <xf numFmtId="164" fontId="8" fillId="87" borderId="68" xfId="566" applyNumberFormat="1" applyFont="1" applyFill="1" applyBorder="1" applyAlignment="1" applyProtection="1">
      <alignment horizontal="center" vertical="center"/>
    </xf>
    <xf numFmtId="164" fontId="8" fillId="0" borderId="32" xfId="566" applyNumberFormat="1" applyFont="1" applyFill="1" applyBorder="1" applyAlignment="1" applyProtection="1">
      <alignment horizontal="center" wrapText="1"/>
    </xf>
    <xf numFmtId="164" fontId="8" fillId="0" borderId="43" xfId="566" applyNumberFormat="1" applyFont="1" applyFill="1" applyBorder="1" applyAlignment="1" applyProtection="1">
      <alignment horizontal="center" wrapText="1"/>
    </xf>
    <xf numFmtId="0" fontId="108" fillId="0" borderId="32" xfId="0" applyFont="1" applyBorder="1" applyAlignment="1">
      <alignment horizontal="center" vertical="center" wrapText="1" readingOrder="1"/>
    </xf>
    <xf numFmtId="0" fontId="108" fillId="0" borderId="43" xfId="0" applyFont="1" applyBorder="1" applyAlignment="1">
      <alignment horizontal="center" vertical="center" wrapText="1" readingOrder="1"/>
    </xf>
    <xf numFmtId="0" fontId="108" fillId="0" borderId="33" xfId="0" applyFont="1" applyBorder="1" applyAlignment="1">
      <alignment horizontal="center" vertical="center" wrapText="1" readingOrder="1"/>
    </xf>
    <xf numFmtId="0" fontId="15" fillId="0" borderId="0" xfId="0" applyFont="1" applyAlignment="1">
      <alignment horizontal="justify" vertical="justify" wrapText="1"/>
    </xf>
    <xf numFmtId="0" fontId="19" fillId="32" borderId="32" xfId="0" quotePrefix="1" applyFont="1" applyFill="1" applyBorder="1" applyAlignment="1" applyProtection="1">
      <alignment horizontal="left" vertical="center" wrapText="1"/>
      <protection locked="0"/>
    </xf>
    <xf numFmtId="0" fontId="19" fillId="32" borderId="43" xfId="0" applyFont="1" applyFill="1" applyBorder="1" applyAlignment="1" applyProtection="1">
      <alignment horizontal="left" vertical="center" wrapText="1"/>
      <protection locked="0"/>
    </xf>
    <xf numFmtId="0" fontId="19" fillId="32" borderId="33" xfId="0" applyFont="1" applyFill="1" applyBorder="1" applyAlignment="1" applyProtection="1">
      <alignment horizontal="left" vertical="center" wrapText="1"/>
      <protection locked="0"/>
    </xf>
    <xf numFmtId="0" fontId="19" fillId="32" borderId="32" xfId="0" applyFont="1" applyFill="1" applyBorder="1" applyAlignment="1" applyProtection="1">
      <alignment horizontal="left" vertical="center" wrapText="1"/>
      <protection locked="0"/>
    </xf>
    <xf numFmtId="0" fontId="12" fillId="40" borderId="20" xfId="0" applyFont="1" applyFill="1" applyBorder="1" applyAlignment="1" applyProtection="1">
      <alignment horizontal="left" vertical="center" wrapText="1"/>
      <protection locked="0"/>
    </xf>
    <xf numFmtId="0" fontId="8" fillId="0" borderId="32" xfId="0" applyFont="1" applyBorder="1" applyAlignment="1">
      <alignment horizontal="center" vertical="center" wrapText="1" readingOrder="1"/>
    </xf>
    <xf numFmtId="0" fontId="8" fillId="0" borderId="43" xfId="0" applyFont="1" applyBorder="1" applyAlignment="1">
      <alignment horizontal="center" vertical="center" wrapText="1" readingOrder="1"/>
    </xf>
    <xf numFmtId="0" fontId="8" fillId="0" borderId="33" xfId="0" applyFont="1" applyBorder="1" applyAlignment="1">
      <alignment horizontal="center" vertical="center" wrapText="1" readingOrder="1"/>
    </xf>
    <xf numFmtId="0" fontId="47" fillId="0" borderId="64" xfId="0" applyFont="1" applyBorder="1"/>
    <xf numFmtId="0" fontId="47" fillId="0" borderId="66" xfId="0" applyFont="1" applyBorder="1"/>
    <xf numFmtId="0" fontId="47" fillId="0" borderId="68" xfId="0" applyFont="1" applyBorder="1"/>
    <xf numFmtId="0" fontId="8" fillId="27" borderId="60" xfId="0" applyFont="1" applyFill="1" applyBorder="1" applyAlignment="1">
      <alignment horizontal="left" vertical="center" wrapText="1" readingOrder="1"/>
    </xf>
    <xf numFmtId="0" fontId="47" fillId="0" borderId="64" xfId="0" applyFont="1" applyBorder="1" applyAlignment="1">
      <alignment horizontal="left" vertical="center" wrapText="1" readingOrder="1"/>
    </xf>
    <xf numFmtId="0" fontId="47" fillId="0" borderId="66" xfId="0" applyFont="1" applyBorder="1" applyAlignment="1">
      <alignment horizontal="left" vertical="center" wrapText="1" readingOrder="1"/>
    </xf>
    <xf numFmtId="0" fontId="47" fillId="0" borderId="68" xfId="0" applyFont="1" applyBorder="1" applyAlignment="1">
      <alignment horizontal="left" vertical="center" wrapText="1" readingOrder="1"/>
    </xf>
    <xf numFmtId="0" fontId="8" fillId="0" borderId="64" xfId="0" applyFont="1" applyBorder="1" applyAlignment="1">
      <alignment horizontal="left" vertical="center" wrapText="1" readingOrder="1"/>
    </xf>
    <xf numFmtId="0" fontId="8" fillId="0" borderId="66" xfId="0" applyFont="1" applyBorder="1" applyAlignment="1">
      <alignment horizontal="left" vertical="center" wrapText="1" readingOrder="1"/>
    </xf>
    <xf numFmtId="0" fontId="8" fillId="0" borderId="68" xfId="0" applyFont="1" applyBorder="1" applyAlignment="1">
      <alignment horizontal="left" vertical="center" wrapText="1" readingOrder="1"/>
    </xf>
    <xf numFmtId="0" fontId="8" fillId="27" borderId="64" xfId="0" applyFont="1" applyFill="1" applyBorder="1" applyAlignment="1">
      <alignment horizontal="left" vertical="center" wrapText="1" readingOrder="1"/>
    </xf>
    <xf numFmtId="0" fontId="8" fillId="27" borderId="66" xfId="0" applyFont="1" applyFill="1" applyBorder="1" applyAlignment="1">
      <alignment horizontal="left" vertical="center" wrapText="1" readingOrder="1"/>
    </xf>
    <xf numFmtId="0" fontId="8" fillId="27" borderId="68" xfId="0" applyFont="1" applyFill="1" applyBorder="1" applyAlignment="1">
      <alignment horizontal="left" vertical="center" wrapText="1" readingOrder="1"/>
    </xf>
    <xf numFmtId="0" fontId="61" fillId="0" borderId="60" xfId="0" applyFont="1" applyBorder="1" applyAlignment="1">
      <alignment horizontal="center" vertical="center" wrapText="1"/>
    </xf>
    <xf numFmtId="0" fontId="61" fillId="0" borderId="64" xfId="0" applyFont="1" applyBorder="1" applyAlignment="1">
      <alignment horizontal="center" vertical="center" wrapText="1"/>
    </xf>
    <xf numFmtId="0" fontId="61" fillId="0" borderId="65" xfId="0" applyFont="1" applyBorder="1" applyAlignment="1">
      <alignment horizontal="center" vertical="center" wrapText="1"/>
    </xf>
    <xf numFmtId="0" fontId="61" fillId="0" borderId="66" xfId="0" applyFont="1" applyBorder="1" applyAlignment="1">
      <alignment horizontal="center" vertical="center" wrapText="1"/>
    </xf>
    <xf numFmtId="0" fontId="61" fillId="0" borderId="67" xfId="0" applyFont="1" applyBorder="1" applyAlignment="1">
      <alignment horizontal="center" vertical="center" wrapText="1"/>
    </xf>
    <xf numFmtId="0" fontId="61" fillId="0" borderId="68" xfId="0" applyFont="1" applyBorder="1" applyAlignment="1">
      <alignment horizontal="center" vertical="center" wrapText="1"/>
    </xf>
    <xf numFmtId="0" fontId="12" fillId="28" borderId="23" xfId="485" applyFont="1" applyFill="1" applyBorder="1" applyAlignment="1">
      <alignment vertical="center"/>
    </xf>
    <xf numFmtId="0" fontId="12" fillId="28" borderId="22" xfId="485" applyFont="1" applyFill="1" applyBorder="1" applyAlignment="1">
      <alignment vertical="center"/>
    </xf>
    <xf numFmtId="0" fontId="30" fillId="28" borderId="22" xfId="0" applyFont="1" applyFill="1" applyBorder="1"/>
    <xf numFmtId="0" fontId="0" fillId="0" borderId="26" xfId="0" applyBorder="1"/>
    <xf numFmtId="0" fontId="30" fillId="0" borderId="20" xfId="0" applyFont="1" applyBorder="1" applyAlignment="1">
      <alignment horizontal="center" vertical="center" wrapText="1"/>
    </xf>
    <xf numFmtId="0" fontId="0" fillId="0" borderId="20" xfId="0" applyBorder="1" applyAlignment="1">
      <alignment horizontal="center" vertical="center" wrapText="1"/>
    </xf>
    <xf numFmtId="0" fontId="24" fillId="0" borderId="20"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8" fillId="0" borderId="32" xfId="0" applyFont="1" applyBorder="1" applyAlignment="1">
      <alignment horizontal="left" vertical="center" wrapText="1" readingOrder="1"/>
    </xf>
    <xf numFmtId="0" fontId="8" fillId="0" borderId="43" xfId="0" applyFont="1" applyBorder="1" applyAlignment="1">
      <alignment horizontal="left" vertical="center" wrapText="1" readingOrder="1"/>
    </xf>
    <xf numFmtId="0" fontId="8" fillId="0" borderId="33" xfId="0" applyFont="1" applyBorder="1" applyAlignment="1">
      <alignment horizontal="left" vertical="center" wrapText="1" readingOrder="1"/>
    </xf>
    <xf numFmtId="0" fontId="30" fillId="0" borderId="60"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68" xfId="0" applyFont="1" applyBorder="1" applyAlignment="1">
      <alignment horizontal="center" vertical="center" wrapText="1"/>
    </xf>
    <xf numFmtId="0" fontId="80" fillId="0" borderId="32" xfId="0" applyFont="1" applyBorder="1" applyAlignment="1">
      <alignment horizontal="center" vertical="center" wrapText="1"/>
    </xf>
    <xf numFmtId="0" fontId="80" fillId="0" borderId="33" xfId="0" applyFont="1" applyBorder="1" applyAlignment="1">
      <alignment horizontal="center" vertical="center" wrapText="1"/>
    </xf>
    <xf numFmtId="0" fontId="63" fillId="0" borderId="20" xfId="0" applyFont="1" applyBorder="1" applyAlignment="1">
      <alignment horizontal="center" vertical="center" wrapText="1"/>
    </xf>
    <xf numFmtId="0" fontId="80" fillId="0" borderId="20" xfId="0" applyFont="1" applyBorder="1" applyAlignment="1">
      <alignment horizontal="center" vertical="center" wrapText="1"/>
    </xf>
    <xf numFmtId="0" fontId="30" fillId="0" borderId="18" xfId="0" applyFont="1" applyBorder="1" applyAlignment="1">
      <alignment horizontal="center" vertical="center"/>
    </xf>
    <xf numFmtId="0" fontId="30" fillId="0" borderId="69" xfId="0" applyFont="1" applyBorder="1" applyAlignment="1">
      <alignment horizontal="center" vertical="center"/>
    </xf>
    <xf numFmtId="0" fontId="24" fillId="32" borderId="32" xfId="0" applyFont="1" applyFill="1" applyBorder="1" applyAlignment="1" applyProtection="1">
      <alignment horizontal="left" vertical="center" wrapText="1"/>
      <protection locked="0"/>
    </xf>
    <xf numFmtId="0" fontId="48" fillId="40" borderId="20" xfId="0" applyFont="1" applyFill="1" applyBorder="1" applyAlignment="1" applyProtection="1">
      <alignment horizontal="left" vertical="center" wrapText="1"/>
      <protection locked="0"/>
    </xf>
    <xf numFmtId="0" fontId="24" fillId="0" borderId="33" xfId="0" applyFont="1" applyBorder="1" applyAlignment="1">
      <alignment horizontal="center" vertical="center" wrapText="1"/>
    </xf>
    <xf numFmtId="0" fontId="107" fillId="0" borderId="32" xfId="0" applyFont="1" applyBorder="1" applyAlignment="1">
      <alignment horizontal="center" vertical="center" wrapText="1"/>
    </xf>
    <xf numFmtId="0" fontId="8" fillId="0" borderId="20" xfId="0" applyFont="1" applyBorder="1" applyAlignment="1">
      <alignment horizontal="center" vertical="center" wrapText="1" readingOrder="1"/>
    </xf>
    <xf numFmtId="9" fontId="61" fillId="0" borderId="32" xfId="0" applyNumberFormat="1" applyFont="1" applyBorder="1" applyAlignment="1">
      <alignment horizontal="center" vertical="center" wrapText="1"/>
    </xf>
    <xf numFmtId="0" fontId="15" fillId="0" borderId="60" xfId="0" applyFont="1" applyBorder="1" applyAlignment="1">
      <alignment horizontal="left" vertical="center" wrapText="1" readingOrder="1"/>
    </xf>
    <xf numFmtId="0" fontId="0" fillId="0" borderId="64" xfId="0" applyBorder="1"/>
    <xf numFmtId="0" fontId="37" fillId="0" borderId="65" xfId="0" applyFont="1" applyBorder="1" applyAlignment="1">
      <alignment horizontal="left" vertical="center" wrapText="1" readingOrder="1"/>
    </xf>
    <xf numFmtId="0" fontId="0" fillId="0" borderId="66" xfId="0" applyBorder="1"/>
    <xf numFmtId="0" fontId="37" fillId="0" borderId="67" xfId="0" applyFont="1" applyBorder="1" applyAlignment="1">
      <alignment horizontal="left" vertical="center" wrapText="1" readingOrder="1"/>
    </xf>
    <xf numFmtId="0" fontId="0" fillId="0" borderId="68" xfId="0" applyBorder="1"/>
    <xf numFmtId="49" fontId="8" fillId="0" borderId="20" xfId="0" applyNumberFormat="1" applyFont="1" applyBorder="1" applyAlignment="1">
      <alignment horizontal="center" vertical="center" wrapText="1" readingOrder="1"/>
    </xf>
    <xf numFmtId="49" fontId="31" fillId="0" borderId="32" xfId="0" applyNumberFormat="1" applyFont="1" applyBorder="1" applyAlignment="1">
      <alignment horizontal="center" vertical="center" wrapText="1" readingOrder="1"/>
    </xf>
    <xf numFmtId="49" fontId="31" fillId="0" borderId="43" xfId="0" applyNumberFormat="1" applyFont="1" applyBorder="1" applyAlignment="1">
      <alignment horizontal="center" vertical="center" wrapText="1" readingOrder="1"/>
    </xf>
    <xf numFmtId="49" fontId="31" fillId="0" borderId="33" xfId="0" applyNumberFormat="1" applyFont="1" applyBorder="1" applyAlignment="1">
      <alignment horizontal="center" vertical="center" wrapText="1" readingOrder="1"/>
    </xf>
    <xf numFmtId="0" fontId="15" fillId="27" borderId="60" xfId="0" applyFont="1" applyFill="1" applyBorder="1" applyAlignment="1">
      <alignment horizontal="left" vertical="center" wrapText="1" readingOrder="1"/>
    </xf>
    <xf numFmtId="0" fontId="0" fillId="0" borderId="64" xfId="0" applyBorder="1" applyAlignment="1">
      <alignment horizontal="left" vertical="center" wrapText="1" readingOrder="1"/>
    </xf>
    <xf numFmtId="0" fontId="37" fillId="27" borderId="65" xfId="0" applyFont="1" applyFill="1" applyBorder="1" applyAlignment="1">
      <alignment horizontal="left" vertical="center" wrapText="1" readingOrder="1"/>
    </xf>
    <xf numFmtId="0" fontId="0" fillId="0" borderId="66" xfId="0" applyBorder="1" applyAlignment="1">
      <alignment horizontal="left" vertical="center" wrapText="1" readingOrder="1"/>
    </xf>
    <xf numFmtId="0" fontId="37" fillId="27" borderId="67" xfId="0" applyFont="1" applyFill="1" applyBorder="1" applyAlignment="1">
      <alignment horizontal="left" vertical="center" wrapText="1" readingOrder="1"/>
    </xf>
    <xf numFmtId="0" fontId="0" fillId="0" borderId="68" xfId="0" applyBorder="1" applyAlignment="1">
      <alignment horizontal="left" vertical="center" wrapText="1" readingOrder="1"/>
    </xf>
    <xf numFmtId="0" fontId="79" fillId="0" borderId="32" xfId="0" applyFont="1" applyBorder="1" applyAlignment="1">
      <alignment horizontal="center" vertical="center" wrapText="1"/>
    </xf>
    <xf numFmtId="0" fontId="79" fillId="0" borderId="43" xfId="0" applyFont="1" applyBorder="1" applyAlignment="1">
      <alignment horizontal="center" vertical="center" wrapText="1"/>
    </xf>
    <xf numFmtId="0" fontId="79" fillId="0" borderId="33" xfId="0" applyFont="1" applyBorder="1" applyAlignment="1">
      <alignment horizontal="center" vertical="center" wrapText="1"/>
    </xf>
    <xf numFmtId="0" fontId="62" fillId="0" borderId="32" xfId="0" applyFont="1" applyBorder="1" applyAlignment="1">
      <alignment horizontal="center" vertical="center" wrapText="1"/>
    </xf>
    <xf numFmtId="9" fontId="79" fillId="0" borderId="32" xfId="0" applyNumberFormat="1" applyFont="1" applyBorder="1" applyAlignment="1">
      <alignment horizontal="center" vertical="center" wrapText="1"/>
    </xf>
    <xf numFmtId="0" fontId="62" fillId="0" borderId="60" xfId="0" applyFont="1" applyBorder="1" applyAlignment="1">
      <alignment horizontal="center" vertical="center" wrapText="1"/>
    </xf>
    <xf numFmtId="0" fontId="79" fillId="0" borderId="64" xfId="0" applyFont="1" applyBorder="1" applyAlignment="1">
      <alignment horizontal="center" vertical="center" wrapText="1"/>
    </xf>
    <xf numFmtId="0" fontId="62" fillId="0" borderId="65" xfId="0" applyFont="1" applyBorder="1" applyAlignment="1">
      <alignment horizontal="center" vertical="center" wrapText="1"/>
    </xf>
    <xf numFmtId="0" fontId="79" fillId="0" borderId="66" xfId="0" applyFont="1" applyBorder="1" applyAlignment="1">
      <alignment horizontal="center" vertical="center" wrapText="1"/>
    </xf>
    <xf numFmtId="0" fontId="62" fillId="0" borderId="67" xfId="0" applyFont="1" applyBorder="1" applyAlignment="1">
      <alignment horizontal="center" vertical="center" wrapText="1"/>
    </xf>
    <xf numFmtId="0" fontId="79" fillId="0" borderId="68" xfId="0" applyFont="1" applyBorder="1" applyAlignment="1">
      <alignment horizontal="center" vertical="center" wrapText="1"/>
    </xf>
    <xf numFmtId="49" fontId="15" fillId="0" borderId="20" xfId="0" applyNumberFormat="1" applyFont="1" applyBorder="1" applyAlignment="1">
      <alignment horizontal="center" vertical="center" wrapText="1" readingOrder="1"/>
    </xf>
    <xf numFmtId="49" fontId="37" fillId="0" borderId="20" xfId="0" applyNumberFormat="1" applyFont="1" applyBorder="1" applyAlignment="1">
      <alignment horizontal="center" vertical="center" wrapText="1" readingOrder="1"/>
    </xf>
    <xf numFmtId="0" fontId="15" fillId="0" borderId="32" xfId="0" applyFont="1" applyBorder="1" applyAlignment="1">
      <alignment horizontal="left" vertical="center" wrapText="1" readingOrder="1"/>
    </xf>
    <xf numFmtId="0" fontId="37" fillId="0" borderId="43" xfId="0" applyFont="1" applyBorder="1" applyAlignment="1">
      <alignment horizontal="left" vertical="center" wrapText="1" readingOrder="1"/>
    </xf>
    <xf numFmtId="0" fontId="37" fillId="0" borderId="33" xfId="0" applyFont="1" applyBorder="1" applyAlignment="1">
      <alignment horizontal="left" vertical="center" wrapText="1" readingOrder="1"/>
    </xf>
    <xf numFmtId="0" fontId="37" fillId="0" borderId="60" xfId="0" applyFont="1" applyBorder="1" applyAlignment="1">
      <alignment horizontal="left" vertical="center" wrapText="1" readingOrder="1"/>
    </xf>
    <xf numFmtId="0" fontId="108" fillId="0" borderId="20" xfId="0" applyFont="1" applyBorder="1" applyAlignment="1">
      <alignment horizontal="left" vertical="center" wrapText="1" readingOrder="1"/>
    </xf>
    <xf numFmtId="0" fontId="32" fillId="0" borderId="3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33" xfId="0" applyFont="1" applyBorder="1" applyAlignment="1">
      <alignment horizontal="center" vertical="center" wrapText="1"/>
    </xf>
    <xf numFmtId="0" fontId="108" fillId="27" borderId="60" xfId="0" applyFont="1" applyFill="1" applyBorder="1" applyAlignment="1">
      <alignment horizontal="left" vertical="center" wrapText="1" readingOrder="1"/>
    </xf>
    <xf numFmtId="0" fontId="108" fillId="27" borderId="65" xfId="0" applyFont="1" applyFill="1" applyBorder="1" applyAlignment="1">
      <alignment horizontal="left" vertical="center" wrapText="1" readingOrder="1"/>
    </xf>
    <xf numFmtId="0" fontId="108" fillId="27" borderId="67" xfId="0" applyFont="1" applyFill="1" applyBorder="1" applyAlignment="1">
      <alignment horizontal="left" vertical="center" wrapText="1" readingOrder="1"/>
    </xf>
    <xf numFmtId="0" fontId="31" fillId="35" borderId="32" xfId="0" applyFont="1" applyFill="1" applyBorder="1" applyAlignment="1">
      <alignment horizontal="center" vertical="center" wrapText="1"/>
    </xf>
    <xf numFmtId="0" fontId="31" fillId="35" borderId="43" xfId="0" applyFont="1" applyFill="1" applyBorder="1" applyAlignment="1">
      <alignment horizontal="center" vertical="center" wrapText="1"/>
    </xf>
    <xf numFmtId="0" fontId="31" fillId="35" borderId="33" xfId="0" applyFont="1" applyFill="1" applyBorder="1" applyAlignment="1">
      <alignment horizontal="center" vertical="center" wrapText="1"/>
    </xf>
    <xf numFmtId="9" fontId="111" fillId="0" borderId="32" xfId="0" applyNumberFormat="1" applyFont="1" applyBorder="1" applyAlignment="1">
      <alignment horizontal="center" vertical="center" wrapText="1"/>
    </xf>
    <xf numFmtId="0" fontId="111" fillId="0" borderId="43" xfId="0" applyFont="1" applyBorder="1" applyAlignment="1">
      <alignment horizontal="center" vertical="center" wrapText="1"/>
    </xf>
    <xf numFmtId="0" fontId="111" fillId="0" borderId="33" xfId="0" applyFont="1" applyBorder="1" applyAlignment="1">
      <alignment horizontal="center" vertical="center" wrapText="1"/>
    </xf>
    <xf numFmtId="0" fontId="15" fillId="0" borderId="0" xfId="0" applyFont="1" applyAlignment="1">
      <alignment horizontal="justify"/>
    </xf>
    <xf numFmtId="0" fontId="108" fillId="0" borderId="0" xfId="0" applyFont="1" applyAlignment="1">
      <alignment horizontal="justify" vertical="justify" wrapText="1"/>
    </xf>
    <xf numFmtId="0" fontId="0" fillId="0" borderId="0" xfId="0" applyAlignment="1">
      <alignment horizontal="justify" vertical="justify" wrapText="1"/>
    </xf>
    <xf numFmtId="0" fontId="111" fillId="0" borderId="32" xfId="0" applyFont="1" applyBorder="1" applyAlignment="1">
      <alignment horizontal="center" vertical="center" wrapText="1"/>
    </xf>
    <xf numFmtId="0" fontId="130" fillId="0" borderId="0" xfId="0" applyFont="1" applyAlignment="1">
      <alignment horizontal="left"/>
    </xf>
    <xf numFmtId="0" fontId="26" fillId="0" borderId="0" xfId="0" applyFont="1" applyAlignment="1">
      <alignment horizontal="left" vertical="top" wrapText="1"/>
    </xf>
    <xf numFmtId="0" fontId="130" fillId="0" borderId="0" xfId="0" applyFont="1" applyAlignment="1">
      <alignment wrapText="1"/>
    </xf>
    <xf numFmtId="0" fontId="130" fillId="0" borderId="0" xfId="0" applyFont="1"/>
    <xf numFmtId="0" fontId="118" fillId="28" borderId="23" xfId="485" applyFont="1" applyFill="1" applyBorder="1" applyAlignment="1">
      <alignment horizontal="left" vertical="center"/>
    </xf>
    <xf numFmtId="0" fontId="118" fillId="28" borderId="22" xfId="485" applyFont="1" applyFill="1" applyBorder="1" applyAlignment="1">
      <alignment horizontal="left" vertical="center"/>
    </xf>
    <xf numFmtId="0" fontId="118" fillId="28" borderId="26" xfId="485" applyFont="1" applyFill="1" applyBorder="1" applyAlignment="1">
      <alignment horizontal="left" vertical="center"/>
    </xf>
    <xf numFmtId="0" fontId="124" fillId="0" borderId="19" xfId="0" applyFont="1" applyBorder="1" applyAlignment="1">
      <alignment horizontal="center" vertical="center" wrapText="1"/>
    </xf>
    <xf numFmtId="0" fontId="126" fillId="0" borderId="24" xfId="0" applyFont="1" applyBorder="1" applyAlignment="1">
      <alignment horizontal="center" vertical="center" wrapText="1"/>
    </xf>
    <xf numFmtId="0" fontId="124" fillId="0" borderId="24" xfId="0" applyFont="1" applyBorder="1" applyAlignment="1">
      <alignment horizontal="center" vertical="center" wrapText="1"/>
    </xf>
    <xf numFmtId="0" fontId="126" fillId="0" borderId="45" xfId="0" applyFont="1" applyBorder="1" applyAlignment="1">
      <alignment horizontal="center" vertical="center" wrapText="1"/>
    </xf>
    <xf numFmtId="0" fontId="125" fillId="0" borderId="19" xfId="0" applyFont="1" applyBorder="1" applyAlignment="1">
      <alignment horizontal="center" vertical="center" wrapText="1"/>
    </xf>
    <xf numFmtId="0" fontId="124" fillId="0" borderId="23" xfId="0" applyFont="1" applyBorder="1" applyAlignment="1">
      <alignment horizontal="center" vertical="center" wrapText="1"/>
    </xf>
    <xf numFmtId="0" fontId="124" fillId="0" borderId="63" xfId="0" applyFont="1" applyBorder="1" applyAlignment="1">
      <alignment horizontal="center" vertical="center" wrapText="1"/>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15" fillId="0" borderId="26" xfId="0" applyFont="1" applyBorder="1" applyAlignment="1">
      <alignment horizontal="left" vertical="center"/>
    </xf>
    <xf numFmtId="0" fontId="0" fillId="0" borderId="22" xfId="0" applyBorder="1" applyAlignment="1">
      <alignment horizontal="left" vertical="center"/>
    </xf>
    <xf numFmtId="0" fontId="0" fillId="0" borderId="26" xfId="0" applyBorder="1" applyAlignment="1">
      <alignment horizontal="left" vertical="center"/>
    </xf>
    <xf numFmtId="0" fontId="8" fillId="27" borderId="44" xfId="0" applyFont="1" applyFill="1" applyBorder="1" applyAlignment="1">
      <alignment horizontal="center" textRotation="90" wrapText="1"/>
    </xf>
    <xf numFmtId="0" fontId="8" fillId="27" borderId="34" xfId="0" applyFont="1" applyFill="1" applyBorder="1" applyAlignment="1">
      <alignment horizontal="center" textRotation="90" wrapText="1"/>
    </xf>
    <xf numFmtId="0" fontId="0" fillId="0" borderId="0" xfId="0" applyAlignment="1">
      <alignment horizontal="left"/>
    </xf>
    <xf numFmtId="0" fontId="26" fillId="0" borderId="19" xfId="0" applyFont="1" applyBorder="1" applyAlignment="1">
      <alignment horizontal="center" vertical="center"/>
    </xf>
    <xf numFmtId="0" fontId="18" fillId="0" borderId="19" xfId="0" applyFont="1" applyBorder="1"/>
    <xf numFmtId="0" fontId="0" fillId="0" borderId="19" xfId="0" applyBorder="1"/>
    <xf numFmtId="0" fontId="15" fillId="0" borderId="19" xfId="0" applyFont="1" applyBorder="1" applyAlignment="1">
      <alignment horizontal="center" vertical="center"/>
    </xf>
    <xf numFmtId="0" fontId="18" fillId="0" borderId="19" xfId="0" applyFont="1" applyBorder="1" applyAlignment="1">
      <alignment vertical="center"/>
    </xf>
    <xf numFmtId="0" fontId="15" fillId="31" borderId="23" xfId="0" applyFont="1" applyFill="1" applyBorder="1" applyAlignment="1">
      <alignment horizontal="center" vertical="center" wrapText="1"/>
    </xf>
    <xf numFmtId="0" fontId="15" fillId="31" borderId="22" xfId="0" applyFont="1" applyFill="1" applyBorder="1" applyAlignment="1">
      <alignment horizontal="center" vertical="center" wrapText="1"/>
    </xf>
    <xf numFmtId="0" fontId="15" fillId="31" borderId="26" xfId="0" applyFont="1" applyFill="1" applyBorder="1" applyAlignment="1">
      <alignment horizontal="center" vertical="center" wrapText="1"/>
    </xf>
    <xf numFmtId="0" fontId="26" fillId="0" borderId="23" xfId="0" applyFont="1" applyBorder="1" applyAlignment="1">
      <alignment horizontal="center" vertical="center"/>
    </xf>
    <xf numFmtId="0" fontId="60" fillId="0" borderId="22" xfId="0" applyFont="1" applyBorder="1" applyAlignment="1">
      <alignment vertical="center"/>
    </xf>
    <xf numFmtId="0" fontId="60" fillId="0" borderId="26" xfId="0" applyFont="1" applyBorder="1" applyAlignment="1">
      <alignment vertical="center"/>
    </xf>
    <xf numFmtId="1" fontId="26" fillId="36" borderId="23" xfId="0" applyNumberFormat="1" applyFont="1" applyFill="1" applyBorder="1" applyAlignment="1">
      <alignment horizontal="center" vertical="center"/>
    </xf>
    <xf numFmtId="1" fontId="26" fillId="36" borderId="22" xfId="0" applyNumberFormat="1" applyFont="1" applyFill="1" applyBorder="1" applyAlignment="1">
      <alignment horizontal="center" vertical="center"/>
    </xf>
    <xf numFmtId="1" fontId="26" fillId="36" borderId="26" xfId="0" applyNumberFormat="1" applyFont="1" applyFill="1" applyBorder="1" applyAlignment="1">
      <alignment horizontal="center" vertical="center"/>
    </xf>
    <xf numFmtId="0" fontId="59" fillId="77" borderId="23" xfId="0" applyFont="1" applyFill="1" applyBorder="1" applyAlignment="1">
      <alignment horizontal="center" vertical="center"/>
    </xf>
    <xf numFmtId="0" fontId="59" fillId="77" borderId="22" xfId="0" applyFont="1" applyFill="1" applyBorder="1" applyAlignment="1">
      <alignment horizontal="center" vertical="center"/>
    </xf>
    <xf numFmtId="0" fontId="59" fillId="77" borderId="26" xfId="0" applyFont="1" applyFill="1" applyBorder="1" applyAlignment="1">
      <alignment horizontal="center" vertical="center"/>
    </xf>
    <xf numFmtId="0" fontId="26" fillId="0" borderId="19" xfId="0" applyFont="1" applyBorder="1" applyAlignment="1">
      <alignment horizontal="center" vertical="center" wrapText="1"/>
    </xf>
    <xf numFmtId="0" fontId="15" fillId="29" borderId="19" xfId="0" applyFont="1" applyFill="1" applyBorder="1" applyAlignment="1">
      <alignment horizontal="center" vertical="center" wrapText="1"/>
    </xf>
    <xf numFmtId="0" fontId="18" fillId="29" borderId="19" xfId="0" applyFont="1" applyFill="1" applyBorder="1" applyAlignment="1">
      <alignment horizontal="center" vertical="center" wrapText="1"/>
    </xf>
    <xf numFmtId="0" fontId="15" fillId="30" borderId="19" xfId="0" applyFont="1" applyFill="1" applyBorder="1" applyAlignment="1">
      <alignment horizontal="center" vertical="center" wrapText="1"/>
    </xf>
    <xf numFmtId="0" fontId="18" fillId="30" borderId="19" xfId="0" applyFont="1" applyFill="1" applyBorder="1" applyAlignment="1">
      <alignment horizontal="center" vertical="center" wrapText="1"/>
    </xf>
    <xf numFmtId="0" fontId="15" fillId="31" borderId="19" xfId="0" applyFont="1" applyFill="1" applyBorder="1" applyAlignment="1">
      <alignment horizontal="center" vertical="center" wrapText="1"/>
    </xf>
    <xf numFmtId="0" fontId="18" fillId="31" borderId="19" xfId="0" applyFont="1" applyFill="1" applyBorder="1" applyAlignment="1">
      <alignment horizontal="center" vertical="center" wrapText="1"/>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15" fillId="31" borderId="27" xfId="0" applyFont="1" applyFill="1" applyBorder="1" applyAlignment="1">
      <alignment horizontal="center" vertical="center" wrapText="1"/>
    </xf>
    <xf numFmtId="0" fontId="18" fillId="31" borderId="27"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8" fillId="0" borderId="0" xfId="0" applyFont="1" applyAlignment="1">
      <alignment horizontal="left" vertical="top" wrapText="1"/>
    </xf>
    <xf numFmtId="0" fontId="103" fillId="0" borderId="0" xfId="0" applyFont="1" applyAlignment="1">
      <alignment horizontal="left" vertical="top" wrapText="1"/>
    </xf>
    <xf numFmtId="0" fontId="24" fillId="31" borderId="25" xfId="0" applyFont="1" applyFill="1" applyBorder="1" applyAlignment="1">
      <alignment horizontal="center" vertical="center"/>
    </xf>
    <xf numFmtId="0" fontId="24" fillId="31" borderId="63" xfId="0" applyFont="1" applyFill="1" applyBorder="1" applyAlignment="1">
      <alignment horizontal="center" vertical="center"/>
    </xf>
    <xf numFmtId="0" fontId="24" fillId="31" borderId="42" xfId="0" applyFont="1" applyFill="1" applyBorder="1" applyAlignment="1">
      <alignment horizontal="center" vertical="center"/>
    </xf>
    <xf numFmtId="164" fontId="19" fillId="29" borderId="21" xfId="397" applyNumberFormat="1" applyFont="1" applyFill="1" applyBorder="1" applyAlignment="1" applyProtection="1">
      <alignment horizontal="center" vertical="center" wrapText="1"/>
    </xf>
    <xf numFmtId="0" fontId="24" fillId="29" borderId="28" xfId="0" applyFont="1" applyFill="1" applyBorder="1" applyAlignment="1">
      <alignment horizontal="center" vertical="center"/>
    </xf>
    <xf numFmtId="0" fontId="24" fillId="29" borderId="29" xfId="0" applyFont="1" applyFill="1" applyBorder="1" applyAlignment="1">
      <alignment horizontal="center" vertical="center"/>
    </xf>
    <xf numFmtId="0" fontId="24" fillId="31" borderId="21" xfId="0" applyFont="1" applyFill="1" applyBorder="1" applyAlignment="1">
      <alignment horizontal="center" vertical="center"/>
    </xf>
    <xf numFmtId="0" fontId="24" fillId="31" borderId="28" xfId="0" applyFont="1" applyFill="1" applyBorder="1" applyAlignment="1">
      <alignment horizontal="center" vertical="center"/>
    </xf>
    <xf numFmtId="0" fontId="24" fillId="31" borderId="29" xfId="0" applyFont="1" applyFill="1" applyBorder="1" applyAlignment="1">
      <alignment horizontal="center" vertical="center"/>
    </xf>
    <xf numFmtId="0" fontId="15" fillId="0" borderId="22" xfId="0" applyFont="1" applyBorder="1" applyAlignment="1">
      <alignment horizontal="center" vertical="center"/>
    </xf>
    <xf numFmtId="0" fontId="8" fillId="27" borderId="27" xfId="0" applyFont="1" applyFill="1" applyBorder="1" applyAlignment="1">
      <alignment horizontal="center" textRotation="90" wrapText="1"/>
    </xf>
    <xf numFmtId="0" fontId="8" fillId="27" borderId="19" xfId="0" applyFont="1" applyFill="1" applyBorder="1" applyAlignment="1">
      <alignment horizontal="center" textRotation="90" wrapText="1"/>
    </xf>
    <xf numFmtId="0" fontId="26" fillId="0" borderId="21" xfId="0" applyFont="1" applyBorder="1" applyAlignment="1">
      <alignment vertical="center"/>
    </xf>
    <xf numFmtId="0" fontId="18" fillId="0" borderId="28" xfId="0" applyFont="1" applyBorder="1"/>
    <xf numFmtId="0" fontId="18" fillId="0" borderId="29" xfId="0" applyFont="1" applyBorder="1"/>
    <xf numFmtId="0" fontId="8" fillId="0" borderId="0" xfId="0" applyFont="1" applyAlignment="1">
      <alignment horizontal="left"/>
    </xf>
    <xf numFmtId="0" fontId="103" fillId="0" borderId="0" xfId="0" applyFont="1" applyAlignment="1">
      <alignment horizontal="left" wrapText="1"/>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5" fillId="0" borderId="26" xfId="0" applyFont="1" applyBorder="1" applyAlignment="1">
      <alignment horizontal="left" vertical="center" wrapText="1"/>
    </xf>
    <xf numFmtId="0" fontId="8" fillId="0" borderId="70" xfId="0" applyFont="1" applyBorder="1" applyAlignment="1">
      <alignment horizontal="center" textRotation="90" wrapText="1"/>
    </xf>
    <xf numFmtId="0" fontId="8" fillId="0" borderId="53" xfId="0" applyFont="1" applyBorder="1" applyAlignment="1">
      <alignment horizontal="center" textRotation="90" wrapText="1"/>
    </xf>
    <xf numFmtId="1" fontId="8" fillId="0" borderId="67" xfId="0" applyNumberFormat="1" applyFont="1" applyBorder="1" applyAlignment="1">
      <alignment horizontal="center" vertical="center"/>
    </xf>
    <xf numFmtId="1" fontId="8" fillId="0" borderId="56" xfId="0" applyNumberFormat="1" applyFont="1" applyBorder="1" applyAlignment="1">
      <alignment horizontal="center" vertical="center"/>
    </xf>
    <xf numFmtId="1" fontId="8" fillId="0" borderId="68" xfId="0" applyNumberFormat="1" applyFont="1" applyBorder="1" applyAlignment="1">
      <alignment horizontal="center" vertical="center"/>
    </xf>
    <xf numFmtId="0" fontId="24" fillId="30" borderId="25" xfId="0" applyFont="1" applyFill="1" applyBorder="1" applyAlignment="1">
      <alignment horizontal="center" vertical="center"/>
    </xf>
    <xf numFmtId="0" fontId="24" fillId="30" borderId="63" xfId="0" applyFont="1" applyFill="1" applyBorder="1" applyAlignment="1">
      <alignment horizontal="center" vertical="center"/>
    </xf>
    <xf numFmtId="0" fontId="24" fillId="30" borderId="42" xfId="0" applyFont="1" applyFill="1" applyBorder="1" applyAlignment="1">
      <alignment horizontal="center" vertical="center"/>
    </xf>
    <xf numFmtId="0" fontId="9" fillId="27" borderId="44" xfId="0" applyFont="1" applyFill="1" applyBorder="1" applyAlignment="1">
      <alignment horizontal="center" textRotation="90" wrapText="1"/>
    </xf>
    <xf numFmtId="0" fontId="9" fillId="27" borderId="34" xfId="0" applyFont="1" applyFill="1" applyBorder="1" applyAlignment="1">
      <alignment horizontal="center" textRotation="90" wrapText="1"/>
    </xf>
    <xf numFmtId="0" fontId="12" fillId="28" borderId="23" xfId="485" applyFont="1" applyFill="1" applyBorder="1" applyAlignment="1">
      <alignment horizontal="left" vertical="center"/>
    </xf>
    <xf numFmtId="0" fontId="12" fillId="28" borderId="22" xfId="485" applyFont="1" applyFill="1" applyBorder="1" applyAlignment="1">
      <alignment horizontal="left" vertical="center"/>
    </xf>
    <xf numFmtId="0" fontId="12" fillId="28" borderId="26" xfId="485" applyFont="1" applyFill="1" applyBorder="1" applyAlignment="1">
      <alignment horizontal="left" vertical="center"/>
    </xf>
    <xf numFmtId="0" fontId="30" fillId="41" borderId="23" xfId="0" applyFont="1" applyFill="1" applyBorder="1" applyAlignment="1">
      <alignment horizontal="left" vertical="center"/>
    </xf>
    <xf numFmtId="0" fontId="30" fillId="41" borderId="22" xfId="0" applyFont="1" applyFill="1" applyBorder="1" applyAlignment="1">
      <alignment horizontal="left" vertical="center"/>
    </xf>
    <xf numFmtId="0" fontId="30" fillId="41" borderId="26" xfId="0" applyFont="1" applyFill="1" applyBorder="1" applyAlignment="1">
      <alignment horizontal="left" vertical="center"/>
    </xf>
    <xf numFmtId="14" fontId="30" fillId="28" borderId="19" xfId="0" applyNumberFormat="1"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28" xfId="0" applyFont="1" applyFill="1" applyBorder="1" applyAlignment="1">
      <alignment horizontal="center" vertical="center"/>
    </xf>
    <xf numFmtId="0" fontId="24" fillId="35" borderId="29" xfId="0" applyFont="1" applyFill="1" applyBorder="1" applyAlignment="1">
      <alignment horizontal="center" vertical="center"/>
    </xf>
    <xf numFmtId="0" fontId="15" fillId="35" borderId="25" xfId="0" applyFont="1" applyFill="1" applyBorder="1" applyAlignment="1">
      <alignment horizontal="center" vertical="center" wrapText="1"/>
    </xf>
    <xf numFmtId="0" fontId="15" fillId="35" borderId="63" xfId="0" applyFont="1" applyFill="1" applyBorder="1" applyAlignment="1">
      <alignment horizontal="center" vertical="center" wrapText="1"/>
    </xf>
    <xf numFmtId="0" fontId="15" fillId="35" borderId="42" xfId="0" applyFont="1" applyFill="1" applyBorder="1" applyAlignment="1">
      <alignment horizontal="center" vertical="center" wrapText="1"/>
    </xf>
    <xf numFmtId="0" fontId="8" fillId="27" borderId="71" xfId="0" applyFont="1" applyFill="1" applyBorder="1" applyAlignment="1">
      <alignment horizontal="center" textRotation="90" wrapText="1"/>
    </xf>
    <xf numFmtId="0" fontId="8" fillId="27" borderId="45" xfId="0" applyFont="1" applyFill="1" applyBorder="1" applyAlignment="1">
      <alignment horizontal="center" textRotation="90" wrapText="1"/>
    </xf>
    <xf numFmtId="0" fontId="24" fillId="30" borderId="21" xfId="0" applyFont="1" applyFill="1" applyBorder="1" applyAlignment="1">
      <alignment horizontal="center" vertical="center"/>
    </xf>
    <xf numFmtId="0" fontId="24" fillId="30" borderId="28" xfId="0" applyFont="1" applyFill="1" applyBorder="1" applyAlignment="1">
      <alignment horizontal="center" vertical="center"/>
    </xf>
    <xf numFmtId="0" fontId="24" fillId="30" borderId="29" xfId="0" applyFont="1" applyFill="1" applyBorder="1" applyAlignment="1">
      <alignment horizontal="center" vertical="center"/>
    </xf>
    <xf numFmtId="0" fontId="24" fillId="29" borderId="25" xfId="0" applyFont="1" applyFill="1" applyBorder="1" applyAlignment="1">
      <alignment horizontal="center" vertical="center" wrapText="1"/>
    </xf>
    <xf numFmtId="0" fontId="24" fillId="29" borderId="63" xfId="0" applyFont="1" applyFill="1" applyBorder="1" applyAlignment="1">
      <alignment horizontal="center" vertical="center" wrapText="1"/>
    </xf>
    <xf numFmtId="0" fontId="24" fillId="29" borderId="42" xfId="0" applyFont="1" applyFill="1" applyBorder="1" applyAlignment="1">
      <alignment horizontal="center" vertical="center" wrapText="1"/>
    </xf>
    <xf numFmtId="0" fontId="8" fillId="0" borderId="49" xfId="0" applyFont="1" applyBorder="1" applyAlignment="1">
      <alignment horizontal="center" textRotation="90" wrapText="1"/>
    </xf>
    <xf numFmtId="0" fontId="8" fillId="0" borderId="47" xfId="0" applyFont="1" applyBorder="1" applyAlignment="1">
      <alignment horizontal="center" textRotation="90" wrapText="1"/>
    </xf>
    <xf numFmtId="0" fontId="8" fillId="27" borderId="49" xfId="0" applyFont="1" applyFill="1" applyBorder="1" applyAlignment="1">
      <alignment horizontal="center" textRotation="90" wrapText="1"/>
    </xf>
    <xf numFmtId="0" fontId="8" fillId="27" borderId="47" xfId="0" applyFont="1" applyFill="1" applyBorder="1" applyAlignment="1">
      <alignment horizontal="center" textRotation="90" wrapText="1"/>
    </xf>
    <xf numFmtId="0" fontId="8" fillId="27" borderId="25" xfId="0" applyFont="1" applyFill="1" applyBorder="1" applyAlignment="1">
      <alignment horizontal="center" textRotation="90" wrapText="1"/>
    </xf>
    <xf numFmtId="0" fontId="8" fillId="27" borderId="23" xfId="0" applyFont="1" applyFill="1" applyBorder="1" applyAlignment="1">
      <alignment horizontal="center" textRotation="90" wrapText="1"/>
    </xf>
    <xf numFmtId="0" fontId="8" fillId="27" borderId="19" xfId="0" applyFont="1" applyFill="1" applyBorder="1" applyAlignment="1">
      <alignment horizontal="center" textRotation="90"/>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36" borderId="32" xfId="0" applyFont="1" applyFill="1" applyBorder="1" applyAlignment="1">
      <alignment horizontal="center" vertical="top" wrapText="1"/>
    </xf>
    <xf numFmtId="0" fontId="9" fillId="36" borderId="43" xfId="0" applyFont="1" applyFill="1" applyBorder="1" applyAlignment="1">
      <alignment horizontal="center" vertical="top" wrapText="1"/>
    </xf>
    <xf numFmtId="0" fontId="9" fillId="36" borderId="33" xfId="0" applyFont="1" applyFill="1" applyBorder="1" applyAlignment="1">
      <alignment horizontal="center" vertical="top" wrapText="1"/>
    </xf>
    <xf numFmtId="0" fontId="9" fillId="27" borderId="18" xfId="0" applyFont="1" applyFill="1" applyBorder="1" applyAlignment="1">
      <alignment horizontal="center" vertical="center" wrapText="1"/>
    </xf>
    <xf numFmtId="0" fontId="9" fillId="27" borderId="81" xfId="0" applyFont="1" applyFill="1" applyBorder="1" applyAlignment="1">
      <alignment horizontal="center" vertical="center" wrapText="1"/>
    </xf>
    <xf numFmtId="0" fontId="9" fillId="27" borderId="69" xfId="0" applyFont="1" applyFill="1" applyBorder="1" applyAlignment="1">
      <alignment horizontal="center" vertical="center" wrapText="1"/>
    </xf>
    <xf numFmtId="0" fontId="9" fillId="36" borderId="32" xfId="0" applyFont="1" applyFill="1" applyBorder="1" applyAlignment="1">
      <alignment horizontal="center" vertical="center" wrapText="1"/>
    </xf>
    <xf numFmtId="0" fontId="9" fillId="36" borderId="43" xfId="0" applyFont="1" applyFill="1" applyBorder="1" applyAlignment="1">
      <alignment horizontal="center" vertical="center" wrapText="1"/>
    </xf>
    <xf numFmtId="0" fontId="9" fillId="36" borderId="33" xfId="0" applyFont="1" applyFill="1" applyBorder="1" applyAlignment="1">
      <alignment horizontal="center" vertical="center" wrapText="1"/>
    </xf>
    <xf numFmtId="0" fontId="8" fillId="72" borderId="27" xfId="0" applyFont="1" applyFill="1" applyBorder="1" applyAlignment="1">
      <alignment horizontal="center" vertical="center" wrapText="1"/>
    </xf>
    <xf numFmtId="0" fontId="8" fillId="72" borderId="19" xfId="0" applyFont="1" applyFill="1" applyBorder="1" applyAlignment="1">
      <alignment horizontal="center" vertical="center" wrapText="1"/>
    </xf>
    <xf numFmtId="0" fontId="8" fillId="73" borderId="27" xfId="0" applyFont="1" applyFill="1" applyBorder="1" applyAlignment="1">
      <alignment horizontal="center" vertical="center" wrapText="1"/>
    </xf>
    <xf numFmtId="0" fontId="8" fillId="73" borderId="19" xfId="0" applyFont="1" applyFill="1" applyBorder="1" applyAlignment="1">
      <alignment horizontal="center" vertical="center" wrapText="1"/>
    </xf>
    <xf numFmtId="0" fontId="8" fillId="72" borderId="19" xfId="0" applyFont="1" applyFill="1" applyBorder="1" applyAlignment="1">
      <alignment horizontal="center" textRotation="90" wrapText="1"/>
    </xf>
    <xf numFmtId="0" fontId="8" fillId="73" borderId="19" xfId="0" applyFont="1" applyFill="1" applyBorder="1" applyAlignment="1">
      <alignment horizontal="center" textRotation="90" wrapText="1"/>
    </xf>
    <xf numFmtId="0" fontId="15" fillId="29" borderId="43" xfId="0" applyFont="1" applyFill="1" applyBorder="1" applyAlignment="1">
      <alignment horizontal="center" vertical="center" wrapText="1"/>
    </xf>
    <xf numFmtId="49" fontId="15" fillId="34" borderId="43" xfId="0" applyNumberFormat="1"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25" xfId="0" applyFont="1" applyBorder="1" applyAlignment="1">
      <alignment horizontal="center" vertical="center"/>
    </xf>
    <xf numFmtId="0" fontId="26" fillId="0" borderId="24" xfId="0" applyFont="1" applyBorder="1" applyAlignment="1">
      <alignment horizontal="center" vertical="center" wrapText="1"/>
    </xf>
    <xf numFmtId="0" fontId="73" fillId="0" borderId="27" xfId="0" applyFont="1" applyBorder="1" applyAlignment="1">
      <alignment horizontal="center" vertical="center"/>
    </xf>
    <xf numFmtId="0" fontId="30" fillId="0" borderId="19" xfId="0" applyFont="1" applyBorder="1" applyAlignment="1">
      <alignment horizontal="center" vertical="center" wrapText="1"/>
    </xf>
    <xf numFmtId="0" fontId="14" fillId="0" borderId="19" xfId="0" applyFont="1" applyBorder="1" applyAlignment="1">
      <alignment horizontal="center" vertical="center"/>
    </xf>
    <xf numFmtId="0" fontId="30" fillId="0" borderId="19" xfId="0" applyFont="1" applyBorder="1" applyAlignment="1">
      <alignment horizontal="center" vertical="center"/>
    </xf>
    <xf numFmtId="0" fontId="14" fillId="0" borderId="19" xfId="0" applyFont="1" applyBorder="1" applyAlignment="1">
      <alignment horizontal="left" vertical="center"/>
    </xf>
    <xf numFmtId="0" fontId="24"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Protection="1">
      <protection locked="0"/>
    </xf>
    <xf numFmtId="0" fontId="75" fillId="35" borderId="21" xfId="0" applyFont="1" applyFill="1" applyBorder="1" applyAlignment="1">
      <alignment horizontal="center"/>
    </xf>
    <xf numFmtId="0" fontId="75" fillId="35" borderId="29" xfId="0" applyFont="1" applyFill="1" applyBorder="1" applyAlignment="1">
      <alignment horizontal="center"/>
    </xf>
    <xf numFmtId="0" fontId="20" fillId="0" borderId="0" xfId="0" applyFont="1" applyAlignment="1">
      <alignment horizontal="center" vertical="center"/>
    </xf>
  </cellXfs>
  <cellStyles count="1101">
    <cellStyle name="20 % - Akzent1 2" xfId="1"/>
    <cellStyle name="20 % - Akzent1 2 2" xfId="2"/>
    <cellStyle name="20 % - Akzent1 2 3" xfId="3"/>
    <cellStyle name="20 % - Akzent1 2 3 2" xfId="4"/>
    <cellStyle name="20 % - Akzent1 2 3 2 2" xfId="5"/>
    <cellStyle name="20 % - Akzent1 2 3 3" xfId="6"/>
    <cellStyle name="20 % - Akzent1 2 4" xfId="7"/>
    <cellStyle name="20 % - Akzent1 3" xfId="8"/>
    <cellStyle name="20 % - Akzent1 3 2" xfId="9"/>
    <cellStyle name="20 % - Akzent1 3 2 2" xfId="573"/>
    <cellStyle name="20 % - Akzent1 3 2 3" xfId="574"/>
    <cellStyle name="20 % - Akzent1 3 2 4" xfId="575"/>
    <cellStyle name="20 % - Akzent1 3 3" xfId="10"/>
    <cellStyle name="20 % - Akzent1 3 4" xfId="576"/>
    <cellStyle name="20 % - Akzent1 3 5" xfId="577"/>
    <cellStyle name="20 % - Akzent1 4" xfId="11"/>
    <cellStyle name="20 % - Akzent1 4 2" xfId="12"/>
    <cellStyle name="20 % - Akzent1 4 2 2" xfId="578"/>
    <cellStyle name="20 % - Akzent1 4 2 3" xfId="579"/>
    <cellStyle name="20 % - Akzent1 4 2 4" xfId="580"/>
    <cellStyle name="20 % - Akzent1 4 3" xfId="13"/>
    <cellStyle name="20 % - Akzent1 4 4" xfId="581"/>
    <cellStyle name="20 % - Akzent1 4 5" xfId="582"/>
    <cellStyle name="20 % - Akzent1 5" xfId="14"/>
    <cellStyle name="20 % - Akzent1 5 2" xfId="583"/>
    <cellStyle name="20 % - Akzent1 5 3" xfId="584"/>
    <cellStyle name="20 % - Akzent1 5 4" xfId="585"/>
    <cellStyle name="20 % - Akzent1 6" xfId="15"/>
    <cellStyle name="20 % - Akzent1 7" xfId="16"/>
    <cellStyle name="20 % - Akzent2 2" xfId="17"/>
    <cellStyle name="20 % - Akzent2 2 2" xfId="18"/>
    <cellStyle name="20 % - Akzent2 2 3" xfId="19"/>
    <cellStyle name="20 % - Akzent2 2 3 2" xfId="20"/>
    <cellStyle name="20 % - Akzent2 2 3 2 2" xfId="21"/>
    <cellStyle name="20 % - Akzent2 2 3 3" xfId="22"/>
    <cellStyle name="20 % - Akzent2 2 4" xfId="23"/>
    <cellStyle name="20 % - Akzent2 3" xfId="24"/>
    <cellStyle name="20 % - Akzent2 3 2" xfId="25"/>
    <cellStyle name="20 % - Akzent2 3 2 2" xfId="586"/>
    <cellStyle name="20 % - Akzent2 3 2 3" xfId="587"/>
    <cellStyle name="20 % - Akzent2 3 2 4" xfId="588"/>
    <cellStyle name="20 % - Akzent2 3 3" xfId="26"/>
    <cellStyle name="20 % - Akzent2 3 4" xfId="589"/>
    <cellStyle name="20 % - Akzent2 3 5" xfId="590"/>
    <cellStyle name="20 % - Akzent2 4" xfId="27"/>
    <cellStyle name="20 % - Akzent2 4 2" xfId="28"/>
    <cellStyle name="20 % - Akzent2 4 2 2" xfId="591"/>
    <cellStyle name="20 % - Akzent2 4 2 3" xfId="592"/>
    <cellStyle name="20 % - Akzent2 4 2 4" xfId="593"/>
    <cellStyle name="20 % - Akzent2 4 3" xfId="29"/>
    <cellStyle name="20 % - Akzent2 4 4" xfId="594"/>
    <cellStyle name="20 % - Akzent2 4 5" xfId="595"/>
    <cellStyle name="20 % - Akzent2 5" xfId="30"/>
    <cellStyle name="20 % - Akzent2 5 2" xfId="596"/>
    <cellStyle name="20 % - Akzent2 5 3" xfId="597"/>
    <cellStyle name="20 % - Akzent2 5 4" xfId="598"/>
    <cellStyle name="20 % - Akzent2 6" xfId="31"/>
    <cellStyle name="20 % - Akzent2 7" xfId="32"/>
    <cellStyle name="20 % - Akzent3 2" xfId="33"/>
    <cellStyle name="20 % - Akzent3 2 2" xfId="34"/>
    <cellStyle name="20 % - Akzent3 2 3" xfId="35"/>
    <cellStyle name="20 % - Akzent3 2 3 2" xfId="36"/>
    <cellStyle name="20 % - Akzent3 2 3 2 2" xfId="37"/>
    <cellStyle name="20 % - Akzent3 2 3 3" xfId="38"/>
    <cellStyle name="20 % - Akzent3 2 4" xfId="39"/>
    <cellStyle name="20 % - Akzent3 3" xfId="40"/>
    <cellStyle name="20 % - Akzent3 3 2" xfId="41"/>
    <cellStyle name="20 % - Akzent3 3 2 2" xfId="599"/>
    <cellStyle name="20 % - Akzent3 3 2 3" xfId="600"/>
    <cellStyle name="20 % - Akzent3 3 2 4" xfId="601"/>
    <cellStyle name="20 % - Akzent3 3 3" xfId="42"/>
    <cellStyle name="20 % - Akzent3 3 4" xfId="602"/>
    <cellStyle name="20 % - Akzent3 3 5" xfId="603"/>
    <cellStyle name="20 % - Akzent3 4" xfId="43"/>
    <cellStyle name="20 % - Akzent3 4 2" xfId="44"/>
    <cellStyle name="20 % - Akzent3 4 2 2" xfId="604"/>
    <cellStyle name="20 % - Akzent3 4 2 3" xfId="605"/>
    <cellStyle name="20 % - Akzent3 4 2 4" xfId="606"/>
    <cellStyle name="20 % - Akzent3 4 3" xfId="45"/>
    <cellStyle name="20 % - Akzent3 4 4" xfId="607"/>
    <cellStyle name="20 % - Akzent3 4 5" xfId="608"/>
    <cellStyle name="20 % - Akzent3 5" xfId="46"/>
    <cellStyle name="20 % - Akzent3 5 2" xfId="609"/>
    <cellStyle name="20 % - Akzent3 5 3" xfId="610"/>
    <cellStyle name="20 % - Akzent3 5 4" xfId="611"/>
    <cellStyle name="20 % - Akzent3 6" xfId="47"/>
    <cellStyle name="20 % - Akzent3 7" xfId="48"/>
    <cellStyle name="20 % - Akzent4 2" xfId="49"/>
    <cellStyle name="20 % - Akzent4 2 2" xfId="50"/>
    <cellStyle name="20 % - Akzent4 2 3" xfId="51"/>
    <cellStyle name="20 % - Akzent4 2 3 2" xfId="52"/>
    <cellStyle name="20 % - Akzent4 2 3 2 2" xfId="53"/>
    <cellStyle name="20 % - Akzent4 2 3 3" xfId="54"/>
    <cellStyle name="20 % - Akzent4 2 4" xfId="55"/>
    <cellStyle name="20 % - Akzent4 3" xfId="56"/>
    <cellStyle name="20 % - Akzent4 3 2" xfId="57"/>
    <cellStyle name="20 % - Akzent4 3 2 2" xfId="612"/>
    <cellStyle name="20 % - Akzent4 3 2 3" xfId="613"/>
    <cellStyle name="20 % - Akzent4 3 2 4" xfId="614"/>
    <cellStyle name="20 % - Akzent4 3 3" xfId="58"/>
    <cellStyle name="20 % - Akzent4 3 4" xfId="615"/>
    <cellStyle name="20 % - Akzent4 3 5" xfId="616"/>
    <cellStyle name="20 % - Akzent4 4" xfId="59"/>
    <cellStyle name="20 % - Akzent4 4 2" xfId="60"/>
    <cellStyle name="20 % - Akzent4 4 2 2" xfId="617"/>
    <cellStyle name="20 % - Akzent4 4 2 3" xfId="618"/>
    <cellStyle name="20 % - Akzent4 4 2 4" xfId="619"/>
    <cellStyle name="20 % - Akzent4 4 3" xfId="61"/>
    <cellStyle name="20 % - Akzent4 4 4" xfId="620"/>
    <cellStyle name="20 % - Akzent4 4 5" xfId="621"/>
    <cellStyle name="20 % - Akzent4 5" xfId="62"/>
    <cellStyle name="20 % - Akzent4 5 2" xfId="622"/>
    <cellStyle name="20 % - Akzent4 5 3" xfId="623"/>
    <cellStyle name="20 % - Akzent4 5 4" xfId="624"/>
    <cellStyle name="20 % - Akzent4 6" xfId="63"/>
    <cellStyle name="20 % - Akzent4 7" xfId="64"/>
    <cellStyle name="20 % - Akzent5 2" xfId="65"/>
    <cellStyle name="20 % - Akzent5 2 2" xfId="66"/>
    <cellStyle name="20 % - Akzent5 2 2 2" xfId="67"/>
    <cellStyle name="20 % - Akzent5 2 3" xfId="68"/>
    <cellStyle name="20 % - Akzent5 3" xfId="69"/>
    <cellStyle name="20 % - Akzent5 3 2" xfId="70"/>
    <cellStyle name="20 % - Akzent5 3 2 2" xfId="625"/>
    <cellStyle name="20 % - Akzent5 3 2 3" xfId="626"/>
    <cellStyle name="20 % - Akzent5 3 2 4" xfId="627"/>
    <cellStyle name="20 % - Akzent5 3 3" xfId="71"/>
    <cellStyle name="20 % - Akzent5 3 4" xfId="628"/>
    <cellStyle name="20 % - Akzent5 3 5" xfId="629"/>
    <cellStyle name="20 % - Akzent5 4" xfId="72"/>
    <cellStyle name="20 % - Akzent5 4 2" xfId="73"/>
    <cellStyle name="20 % - Akzent5 4 2 2" xfId="630"/>
    <cellStyle name="20 % - Akzent5 4 2 3" xfId="631"/>
    <cellStyle name="20 % - Akzent5 4 2 4" xfId="632"/>
    <cellStyle name="20 % - Akzent5 4 3" xfId="74"/>
    <cellStyle name="20 % - Akzent5 4 4" xfId="633"/>
    <cellStyle name="20 % - Akzent5 4 5" xfId="634"/>
    <cellStyle name="20 % - Akzent5 5" xfId="75"/>
    <cellStyle name="20 % - Akzent5 5 2" xfId="635"/>
    <cellStyle name="20 % - Akzent5 5 3" xfId="636"/>
    <cellStyle name="20 % - Akzent5 5 4" xfId="637"/>
    <cellStyle name="20 % - Akzent5 6" xfId="76"/>
    <cellStyle name="20 % - Akzent5 7" xfId="77"/>
    <cellStyle name="20 % - Akzent6 2" xfId="78"/>
    <cellStyle name="20 % - Akzent6 3" xfId="79"/>
    <cellStyle name="20 % - Akzent6 3 2" xfId="80"/>
    <cellStyle name="20 % - Akzent6 3 2 2" xfId="638"/>
    <cellStyle name="20 % - Akzent6 3 2 3" xfId="639"/>
    <cellStyle name="20 % - Akzent6 3 2 4" xfId="640"/>
    <cellStyle name="20 % - Akzent6 3 3" xfId="81"/>
    <cellStyle name="20 % - Akzent6 3 4" xfId="641"/>
    <cellStyle name="20 % - Akzent6 3 5" xfId="642"/>
    <cellStyle name="20 % - Akzent6 4" xfId="82"/>
    <cellStyle name="20 % - Akzent6 4 2" xfId="83"/>
    <cellStyle name="20 % - Akzent6 4 2 2" xfId="643"/>
    <cellStyle name="20 % - Akzent6 4 2 3" xfId="644"/>
    <cellStyle name="20 % - Akzent6 4 2 4" xfId="645"/>
    <cellStyle name="20 % - Akzent6 4 3" xfId="84"/>
    <cellStyle name="20 % - Akzent6 4 4" xfId="646"/>
    <cellStyle name="20 % - Akzent6 4 5" xfId="647"/>
    <cellStyle name="20 % - Akzent6 5" xfId="85"/>
    <cellStyle name="20 % - Akzent6 5 2" xfId="648"/>
    <cellStyle name="20 % - Akzent6 5 3" xfId="649"/>
    <cellStyle name="20 % - Akzent6 5 4" xfId="650"/>
    <cellStyle name="20 % - Akzent6 6" xfId="86"/>
    <cellStyle name="20 % - Akzent6 7" xfId="87"/>
    <cellStyle name="40 % - Akzent1 2" xfId="88"/>
    <cellStyle name="40 % - Akzent1 2 2" xfId="89"/>
    <cellStyle name="40 % - Akzent1 2 3" xfId="90"/>
    <cellStyle name="40 % - Akzent1 3" xfId="91"/>
    <cellStyle name="40 % - Akzent1 3 2" xfId="92"/>
    <cellStyle name="40 % - Akzent1 3 2 2" xfId="651"/>
    <cellStyle name="40 % - Akzent1 3 2 3" xfId="652"/>
    <cellStyle name="40 % - Akzent1 3 2 4" xfId="653"/>
    <cellStyle name="40 % - Akzent1 3 3" xfId="93"/>
    <cellStyle name="40 % - Akzent1 3 4" xfId="654"/>
    <cellStyle name="40 % - Akzent1 3 5" xfId="655"/>
    <cellStyle name="40 % - Akzent1 4" xfId="94"/>
    <cellStyle name="40 % - Akzent1 4 2" xfId="95"/>
    <cellStyle name="40 % - Akzent1 4 2 2" xfId="656"/>
    <cellStyle name="40 % - Akzent1 4 2 3" xfId="657"/>
    <cellStyle name="40 % - Akzent1 4 2 4" xfId="658"/>
    <cellStyle name="40 % - Akzent1 4 3" xfId="96"/>
    <cellStyle name="40 % - Akzent1 4 4" xfId="659"/>
    <cellStyle name="40 % - Akzent1 4 5" xfId="660"/>
    <cellStyle name="40 % - Akzent1 5" xfId="97"/>
    <cellStyle name="40 % - Akzent1 5 2" xfId="661"/>
    <cellStyle name="40 % - Akzent1 5 3" xfId="662"/>
    <cellStyle name="40 % - Akzent1 5 4" xfId="663"/>
    <cellStyle name="40 % - Akzent1 6" xfId="98"/>
    <cellStyle name="40 % - Akzent1 7" xfId="99"/>
    <cellStyle name="40 % - Akzent2 2" xfId="100"/>
    <cellStyle name="40 % - Akzent2 3" xfId="101"/>
    <cellStyle name="40 % - Akzent2 3 2" xfId="102"/>
    <cellStyle name="40 % - Akzent2 3 2 2" xfId="664"/>
    <cellStyle name="40 % - Akzent2 3 2 3" xfId="665"/>
    <cellStyle name="40 % - Akzent2 3 2 4" xfId="666"/>
    <cellStyle name="40 % - Akzent2 3 3" xfId="103"/>
    <cellStyle name="40 % - Akzent2 3 4" xfId="667"/>
    <cellStyle name="40 % - Akzent2 3 5" xfId="668"/>
    <cellStyle name="40 % - Akzent2 4" xfId="104"/>
    <cellStyle name="40 % - Akzent2 4 2" xfId="105"/>
    <cellStyle name="40 % - Akzent2 4 2 2" xfId="669"/>
    <cellStyle name="40 % - Akzent2 4 2 3" xfId="670"/>
    <cellStyle name="40 % - Akzent2 4 2 4" xfId="671"/>
    <cellStyle name="40 % - Akzent2 4 3" xfId="106"/>
    <cellStyle name="40 % - Akzent2 4 4" xfId="672"/>
    <cellStyle name="40 % - Akzent2 4 5" xfId="673"/>
    <cellStyle name="40 % - Akzent2 5" xfId="107"/>
    <cellStyle name="40 % - Akzent2 5 2" xfId="674"/>
    <cellStyle name="40 % - Akzent2 5 3" xfId="675"/>
    <cellStyle name="40 % - Akzent2 5 4" xfId="676"/>
    <cellStyle name="40 % - Akzent2 6" xfId="108"/>
    <cellStyle name="40 % - Akzent2 7" xfId="109"/>
    <cellStyle name="40 % - Akzent3 2" xfId="110"/>
    <cellStyle name="40 % - Akzent3 2 2" xfId="111"/>
    <cellStyle name="40 % - Akzent3 2 3" xfId="112"/>
    <cellStyle name="40 % - Akzent3 2 3 2" xfId="113"/>
    <cellStyle name="40 % - Akzent3 2 3 2 2" xfId="114"/>
    <cellStyle name="40 % - Akzent3 2 3 3" xfId="115"/>
    <cellStyle name="40 % - Akzent3 2 4" xfId="116"/>
    <cellStyle name="40 % - Akzent3 3" xfId="117"/>
    <cellStyle name="40 % - Akzent3 3 2" xfId="118"/>
    <cellStyle name="40 % - Akzent3 3 2 2" xfId="677"/>
    <cellStyle name="40 % - Akzent3 3 2 3" xfId="678"/>
    <cellStyle name="40 % - Akzent3 3 2 4" xfId="679"/>
    <cellStyle name="40 % - Akzent3 3 3" xfId="119"/>
    <cellStyle name="40 % - Akzent3 3 4" xfId="680"/>
    <cellStyle name="40 % - Akzent3 3 5" xfId="681"/>
    <cellStyle name="40 % - Akzent3 4" xfId="120"/>
    <cellStyle name="40 % - Akzent3 4 2" xfId="121"/>
    <cellStyle name="40 % - Akzent3 4 2 2" xfId="682"/>
    <cellStyle name="40 % - Akzent3 4 2 3" xfId="683"/>
    <cellStyle name="40 % - Akzent3 4 2 4" xfId="684"/>
    <cellStyle name="40 % - Akzent3 4 3" xfId="122"/>
    <cellStyle name="40 % - Akzent3 4 4" xfId="685"/>
    <cellStyle name="40 % - Akzent3 4 5" xfId="686"/>
    <cellStyle name="40 % - Akzent3 5" xfId="123"/>
    <cellStyle name="40 % - Akzent3 5 2" xfId="687"/>
    <cellStyle name="40 % - Akzent3 5 3" xfId="688"/>
    <cellStyle name="40 % - Akzent3 5 4" xfId="689"/>
    <cellStyle name="40 % - Akzent3 6" xfId="124"/>
    <cellStyle name="40 % - Akzent3 7" xfId="125"/>
    <cellStyle name="40 % - Akzent4 2" xfId="126"/>
    <cellStyle name="40 % - Akzent4 2 2" xfId="127"/>
    <cellStyle name="40 % - Akzent4 2 2 2" xfId="128"/>
    <cellStyle name="40 % - Akzent4 2 3" xfId="129"/>
    <cellStyle name="40 % - Akzent4 3" xfId="130"/>
    <cellStyle name="40 % - Akzent4 3 2" xfId="131"/>
    <cellStyle name="40 % - Akzent4 3 2 2" xfId="690"/>
    <cellStyle name="40 % - Akzent4 3 2 3" xfId="691"/>
    <cellStyle name="40 % - Akzent4 3 2 4" xfId="692"/>
    <cellStyle name="40 % - Akzent4 3 3" xfId="132"/>
    <cellStyle name="40 % - Akzent4 3 4" xfId="693"/>
    <cellStyle name="40 % - Akzent4 3 5" xfId="694"/>
    <cellStyle name="40 % - Akzent4 4" xfId="133"/>
    <cellStyle name="40 % - Akzent4 4 2" xfId="134"/>
    <cellStyle name="40 % - Akzent4 4 2 2" xfId="695"/>
    <cellStyle name="40 % - Akzent4 4 2 3" xfId="696"/>
    <cellStyle name="40 % - Akzent4 4 2 4" xfId="697"/>
    <cellStyle name="40 % - Akzent4 4 3" xfId="135"/>
    <cellStyle name="40 % - Akzent4 4 4" xfId="698"/>
    <cellStyle name="40 % - Akzent4 4 5" xfId="699"/>
    <cellStyle name="40 % - Akzent4 5" xfId="136"/>
    <cellStyle name="40 % - Akzent4 5 2" xfId="700"/>
    <cellStyle name="40 % - Akzent4 5 3" xfId="701"/>
    <cellStyle name="40 % - Akzent4 5 4" xfId="702"/>
    <cellStyle name="40 % - Akzent4 6" xfId="137"/>
    <cellStyle name="40 % - Akzent4 7" xfId="138"/>
    <cellStyle name="40 % - Akzent5 2" xfId="139"/>
    <cellStyle name="40 % - Akzent5 2 2" xfId="140"/>
    <cellStyle name="40 % - Akzent5 2 3" xfId="141"/>
    <cellStyle name="40 % - Akzent5 3" xfId="142"/>
    <cellStyle name="40 % - Akzent5 3 2" xfId="143"/>
    <cellStyle name="40 % - Akzent5 3 2 2" xfId="703"/>
    <cellStyle name="40 % - Akzent5 3 2 3" xfId="704"/>
    <cellStyle name="40 % - Akzent5 3 2 4" xfId="705"/>
    <cellStyle name="40 % - Akzent5 3 3" xfId="144"/>
    <cellStyle name="40 % - Akzent5 3 4" xfId="706"/>
    <cellStyle name="40 % - Akzent5 3 5" xfId="707"/>
    <cellStyle name="40 % - Akzent5 4" xfId="145"/>
    <cellStyle name="40 % - Akzent5 4 2" xfId="146"/>
    <cellStyle name="40 % - Akzent5 4 2 2" xfId="708"/>
    <cellStyle name="40 % - Akzent5 4 2 3" xfId="709"/>
    <cellStyle name="40 % - Akzent5 4 2 4" xfId="710"/>
    <cellStyle name="40 % - Akzent5 4 3" xfId="147"/>
    <cellStyle name="40 % - Akzent5 4 4" xfId="711"/>
    <cellStyle name="40 % - Akzent5 4 5" xfId="712"/>
    <cellStyle name="40 % - Akzent5 5" xfId="148"/>
    <cellStyle name="40 % - Akzent5 5 2" xfId="713"/>
    <cellStyle name="40 % - Akzent5 5 3" xfId="714"/>
    <cellStyle name="40 % - Akzent5 5 4" xfId="715"/>
    <cellStyle name="40 % - Akzent5 6" xfId="149"/>
    <cellStyle name="40 % - Akzent5 7" xfId="150"/>
    <cellStyle name="40 % - Akzent6 2" xfId="151"/>
    <cellStyle name="40 % - Akzent6 2 2" xfId="152"/>
    <cellStyle name="40 % - Akzent6 2 2 2" xfId="153"/>
    <cellStyle name="40 % - Akzent6 2 3" xfId="154"/>
    <cellStyle name="40 % - Akzent6 3" xfId="155"/>
    <cellStyle name="40 % - Akzent6 3 2" xfId="156"/>
    <cellStyle name="40 % - Akzent6 3 2 2" xfId="716"/>
    <cellStyle name="40 % - Akzent6 3 2 3" xfId="717"/>
    <cellStyle name="40 % - Akzent6 3 2 4" xfId="718"/>
    <cellStyle name="40 % - Akzent6 3 3" xfId="157"/>
    <cellStyle name="40 % - Akzent6 3 4" xfId="719"/>
    <cellStyle name="40 % - Akzent6 3 5" xfId="720"/>
    <cellStyle name="40 % - Akzent6 4" xfId="158"/>
    <cellStyle name="40 % - Akzent6 4 2" xfId="159"/>
    <cellStyle name="40 % - Akzent6 4 2 2" xfId="721"/>
    <cellStyle name="40 % - Akzent6 4 2 3" xfId="722"/>
    <cellStyle name="40 % - Akzent6 4 2 4" xfId="723"/>
    <cellStyle name="40 % - Akzent6 4 3" xfId="160"/>
    <cellStyle name="40 % - Akzent6 4 4" xfId="724"/>
    <cellStyle name="40 % - Akzent6 4 5" xfId="725"/>
    <cellStyle name="40 % - Akzent6 5" xfId="161"/>
    <cellStyle name="40 % - Akzent6 5 2" xfId="726"/>
    <cellStyle name="40 % - Akzent6 5 3" xfId="727"/>
    <cellStyle name="40 % - Akzent6 5 4" xfId="728"/>
    <cellStyle name="40 % - Akzent6 6" xfId="162"/>
    <cellStyle name="40 % - Akzent6 7" xfId="163"/>
    <cellStyle name="60 % - Akzent1 2" xfId="164"/>
    <cellStyle name="60 % - Akzent1 2 2" xfId="165"/>
    <cellStyle name="60 % - Akzent1 2 2 2" xfId="166"/>
    <cellStyle name="60 % - Akzent1 2 3" xfId="167"/>
    <cellStyle name="60 % - Akzent1 3" xfId="168"/>
    <cellStyle name="60 % - Akzent1 4" xfId="169"/>
    <cellStyle name="60 % - Akzent1 5" xfId="170"/>
    <cellStyle name="60 % - Akzent1 6" xfId="171"/>
    <cellStyle name="60 % - Akzent2 2" xfId="172"/>
    <cellStyle name="60 % - Akzent2 3" xfId="173"/>
    <cellStyle name="60 % - Akzent2 4" xfId="174"/>
    <cellStyle name="60 % - Akzent2 5" xfId="175"/>
    <cellStyle name="60 % - Akzent2 6" xfId="176"/>
    <cellStyle name="60 % - Akzent3 2" xfId="177"/>
    <cellStyle name="60 % - Akzent3 3" xfId="178"/>
    <cellStyle name="60 % - Akzent3 4" xfId="179"/>
    <cellStyle name="60 % - Akzent3 5" xfId="180"/>
    <cellStyle name="60 % - Akzent3 6" xfId="181"/>
    <cellStyle name="60 % - Akzent4 2" xfId="182"/>
    <cellStyle name="60 % - Akzent4 2 2" xfId="183"/>
    <cellStyle name="60 % - Akzent4 2 3" xfId="184"/>
    <cellStyle name="60 % - Akzent4 2 3 2" xfId="185"/>
    <cellStyle name="60 % - Akzent4 2 3 2 2" xfId="186"/>
    <cellStyle name="60 % - Akzent4 2 3 3" xfId="187"/>
    <cellStyle name="60 % - Akzent4 2 4" xfId="188"/>
    <cellStyle name="60 % - Akzent4 3" xfId="189"/>
    <cellStyle name="60 % - Akzent4 4" xfId="190"/>
    <cellStyle name="60 % - Akzent4 5" xfId="191"/>
    <cellStyle name="60 % - Akzent4 6" xfId="192"/>
    <cellStyle name="60 % - Akzent5 2" xfId="193"/>
    <cellStyle name="60 % - Akzent5 2 2" xfId="194"/>
    <cellStyle name="60 % - Akzent5 2 2 2" xfId="195"/>
    <cellStyle name="60 % - Akzent5 2 3" xfId="196"/>
    <cellStyle name="60 % - Akzent5 3" xfId="197"/>
    <cellStyle name="60 % - Akzent5 4" xfId="198"/>
    <cellStyle name="60 % - Akzent5 5" xfId="199"/>
    <cellStyle name="60 % - Akzent5 6" xfId="200"/>
    <cellStyle name="60 % - Akzent6 2" xfId="201"/>
    <cellStyle name="60 % - Akzent6 2 2" xfId="202"/>
    <cellStyle name="60 % - Akzent6 2 3" xfId="203"/>
    <cellStyle name="60 % - Akzent6 2 3 2" xfId="204"/>
    <cellStyle name="60 % - Akzent6 2 3 2 2" xfId="205"/>
    <cellStyle name="60 % - Akzent6 2 3 3" xfId="206"/>
    <cellStyle name="60 % - Akzent6 2 4" xfId="207"/>
    <cellStyle name="60 % - Akzent6 3" xfId="208"/>
    <cellStyle name="60 % - Akzent6 4" xfId="209"/>
    <cellStyle name="60 % - Akzent6 5" xfId="210"/>
    <cellStyle name="60 % - Akzent6 6" xfId="211"/>
    <cellStyle name="Accent1" xfId="228"/>
    <cellStyle name="Accent1 2" xfId="212"/>
    <cellStyle name="Accent1 3" xfId="213"/>
    <cellStyle name="Accent1 3 2" xfId="214"/>
    <cellStyle name="Accent1 3 3" xfId="729"/>
    <cellStyle name="Accent1 4" xfId="215"/>
    <cellStyle name="Accent1 4 2" xfId="730"/>
    <cellStyle name="Accent1 5" xfId="216"/>
    <cellStyle name="Accent2" xfId="231"/>
    <cellStyle name="Accent2 2" xfId="217"/>
    <cellStyle name="Accent2 3" xfId="218"/>
    <cellStyle name="Accent2 4" xfId="219"/>
    <cellStyle name="Accent2 5" xfId="731"/>
    <cellStyle name="Accent3" xfId="234"/>
    <cellStyle name="Accent3 2" xfId="220"/>
    <cellStyle name="Accent4" xfId="237"/>
    <cellStyle name="Accent4 2" xfId="221"/>
    <cellStyle name="Accent4 3" xfId="222"/>
    <cellStyle name="Accent4 3 2" xfId="223"/>
    <cellStyle name="Accent4 3 3" xfId="732"/>
    <cellStyle name="Accent4 4" xfId="224"/>
    <cellStyle name="Accent4 4 2" xfId="733"/>
    <cellStyle name="Accent4 5" xfId="225"/>
    <cellStyle name="Accent5" xfId="240"/>
    <cellStyle name="Accent5 2" xfId="226"/>
    <cellStyle name="Accent6" xfId="243"/>
    <cellStyle name="Accent6 2" xfId="227"/>
    <cellStyle name="Akzent1 2" xfId="229"/>
    <cellStyle name="Akzent1 3" xfId="230"/>
    <cellStyle name="Akzent1 4" xfId="734"/>
    <cellStyle name="Akzent2 2" xfId="232"/>
    <cellStyle name="Akzent2 3" xfId="233"/>
    <cellStyle name="Akzent2 4" xfId="735"/>
    <cellStyle name="Akzent3 2" xfId="235"/>
    <cellStyle name="Akzent3 3" xfId="236"/>
    <cellStyle name="Akzent4 2" xfId="238"/>
    <cellStyle name="Akzent4 3" xfId="239"/>
    <cellStyle name="Akzent4 4" xfId="736"/>
    <cellStyle name="Akzent5 2" xfId="241"/>
    <cellStyle name="Akzent5 3" xfId="242"/>
    <cellStyle name="Akzent6 2" xfId="244"/>
    <cellStyle name="Akzent6 3" xfId="245"/>
    <cellStyle name="Ausgabe 2" xfId="246"/>
    <cellStyle name="Ausgabe 2 2" xfId="247"/>
    <cellStyle name="Ausgabe 2 2 2" xfId="248"/>
    <cellStyle name="Ausgabe 2 2 3" xfId="249"/>
    <cellStyle name="Ausgabe 2 2 3 2" xfId="557"/>
    <cellStyle name="Ausgabe 2 2 3 3" xfId="739"/>
    <cellStyle name="Ausgabe 2 2 4" xfId="738"/>
    <cellStyle name="Ausgabe 2 3" xfId="250"/>
    <cellStyle name="Ausgabe 2 3 2" xfId="251"/>
    <cellStyle name="Ausgabe 2 3 2 2" xfId="252"/>
    <cellStyle name="Ausgabe 2 3 3" xfId="253"/>
    <cellStyle name="Ausgabe 2 3 3 2" xfId="558"/>
    <cellStyle name="Ausgabe 2 3 3 3" xfId="740"/>
    <cellStyle name="Ausgabe 2 4" xfId="254"/>
    <cellStyle name="Ausgabe 2 5" xfId="255"/>
    <cellStyle name="Ausgabe 2 5 2" xfId="559"/>
    <cellStyle name="Ausgabe 2 5 3" xfId="741"/>
    <cellStyle name="Ausgabe 2 6" xfId="737"/>
    <cellStyle name="Ausgabe 3" xfId="256"/>
    <cellStyle name="Ausgabe 3 2" xfId="257"/>
    <cellStyle name="Ausgabe 3 3" xfId="258"/>
    <cellStyle name="Ausgabe 3 3 2" xfId="560"/>
    <cellStyle name="Ausgabe 3 3 3" xfId="743"/>
    <cellStyle name="Ausgabe 3 4" xfId="742"/>
    <cellStyle name="Ausgabe 4" xfId="259"/>
    <cellStyle name="Ausgabe 5" xfId="260"/>
    <cellStyle name="Ausgabe 6" xfId="261"/>
    <cellStyle name="Ausgabe 7" xfId="262"/>
    <cellStyle name="Ausgabe 7 2" xfId="263"/>
    <cellStyle name="Ausgabe 7 3" xfId="264"/>
    <cellStyle name="Ausgabe 7 3 2" xfId="265"/>
    <cellStyle name="Ausgabe 7 3 3" xfId="561"/>
    <cellStyle name="Ausgabe 7 3 4" xfId="744"/>
    <cellStyle name="Ausgabe 7 4" xfId="266"/>
    <cellStyle name="Ausgabe 8" xfId="267"/>
    <cellStyle name="Ausgabe 8 2" xfId="268"/>
    <cellStyle name="Bad" xfId="482"/>
    <cellStyle name="Bad 2" xfId="269"/>
    <cellStyle name="Bad 2 2" xfId="745"/>
    <cellStyle name="Berechnung 2" xfId="270"/>
    <cellStyle name="Berechnung 2 2" xfId="271"/>
    <cellStyle name="Berechnung 2 3" xfId="272"/>
    <cellStyle name="Berechnung 2 3 2" xfId="273"/>
    <cellStyle name="Berechnung 2 3 2 2" xfId="274"/>
    <cellStyle name="Berechnung 2 3 3" xfId="275"/>
    <cellStyle name="Berechnung 2 4" xfId="276"/>
    <cellStyle name="Berechnung 3" xfId="277"/>
    <cellStyle name="Berechnung 4" xfId="278"/>
    <cellStyle name="Berechnung 5" xfId="279"/>
    <cellStyle name="Berechnung 6" xfId="280"/>
    <cellStyle name="Berechnung 7" xfId="281"/>
    <cellStyle name="Berechnung 7 2" xfId="282"/>
    <cellStyle name="Berechnung 7 3" xfId="283"/>
    <cellStyle name="Berechnung 8" xfId="284"/>
    <cellStyle name="Calculation 2" xfId="285"/>
    <cellStyle name="Check Cell" xfId="552"/>
    <cellStyle name="Check Cell 2" xfId="286"/>
    <cellStyle name="Check Cell 2 2" xfId="746"/>
    <cellStyle name="Check Cell 3" xfId="287"/>
    <cellStyle name="Check Cell 3 2" xfId="748"/>
    <cellStyle name="Check Cell 3 3" xfId="747"/>
    <cellStyle name="Check Cell 4" xfId="288"/>
    <cellStyle name="Check Cell 4 2" xfId="749"/>
    <cellStyle name="Check Cell 5" xfId="750"/>
    <cellStyle name="Comma 2" xfId="562"/>
    <cellStyle name="Eingabe 2" xfId="290"/>
    <cellStyle name="Eingabe 3" xfId="291"/>
    <cellStyle name="Eingabe 4" xfId="292"/>
    <cellStyle name="Eingabe 5" xfId="293"/>
    <cellStyle name="Eingabe 6" xfId="294"/>
    <cellStyle name="Eingabe 7" xfId="295"/>
    <cellStyle name="Ergebnis 2" xfId="296"/>
    <cellStyle name="Ergebnis 2 2" xfId="297"/>
    <cellStyle name="Ergebnis 2 2 2" xfId="298"/>
    <cellStyle name="Ergebnis 2 3" xfId="299"/>
    <cellStyle name="Ergebnis 2 4" xfId="300"/>
    <cellStyle name="Ergebnis 2 4 2" xfId="301"/>
    <cellStyle name="Ergebnis 2 4 2 2" xfId="302"/>
    <cellStyle name="Ergebnis 2 4 3" xfId="303"/>
    <cellStyle name="Ergebnis 2 5" xfId="304"/>
    <cellStyle name="Ergebnis 3" xfId="305"/>
    <cellStyle name="Ergebnis 3 2" xfId="306"/>
    <cellStyle name="Ergebnis 4" xfId="307"/>
    <cellStyle name="Ergebnis 4 2" xfId="308"/>
    <cellStyle name="Ergebnis 5" xfId="309"/>
    <cellStyle name="Ergebnis 6" xfId="310"/>
    <cellStyle name="Ergebnis 7" xfId="311"/>
    <cellStyle name="Ergebnis 8" xfId="312"/>
    <cellStyle name="Ergebnis 8 2" xfId="313"/>
    <cellStyle name="Ergebnis 8 3" xfId="314"/>
    <cellStyle name="Ergebnis 9" xfId="315"/>
    <cellStyle name="Erklärender Text 2" xfId="316"/>
    <cellStyle name="Erklärender Text 3" xfId="317"/>
    <cellStyle name="Erklärender Text 4" xfId="318"/>
    <cellStyle name="Erklärender Text 5" xfId="319"/>
    <cellStyle name="Erklärender Text 6" xfId="320"/>
    <cellStyle name="Good" xfId="322"/>
    <cellStyle name="Good 2" xfId="321"/>
    <cellStyle name="Good 2 2" xfId="751"/>
    <cellStyle name="Gut 2" xfId="323"/>
    <cellStyle name="Gut 3" xfId="324"/>
    <cellStyle name="Heading 1" xfId="527"/>
    <cellStyle name="Heading 1 2" xfId="325"/>
    <cellStyle name="Heading 1 2 2" xfId="326"/>
    <cellStyle name="Heading 1 2 2 2" xfId="754"/>
    <cellStyle name="Heading 1 2 3" xfId="755"/>
    <cellStyle name="Heading 1 2 4" xfId="753"/>
    <cellStyle name="Heading 1 3" xfId="327"/>
    <cellStyle name="Heading 1 3 2" xfId="756"/>
    <cellStyle name="Heading 1 4" xfId="328"/>
    <cellStyle name="Heading 1 5" xfId="752"/>
    <cellStyle name="Heading 2" xfId="530"/>
    <cellStyle name="Heading 2 2" xfId="329"/>
    <cellStyle name="Heading 2 2 2" xfId="330"/>
    <cellStyle name="Heading 2 2 2 2" xfId="759"/>
    <cellStyle name="Heading 2 2 3" xfId="760"/>
    <cellStyle name="Heading 2 2 4" xfId="758"/>
    <cellStyle name="Heading 2 3" xfId="331"/>
    <cellStyle name="Heading 2 3 2" xfId="761"/>
    <cellStyle name="Heading 2 4" xfId="332"/>
    <cellStyle name="Heading 2 5" xfId="757"/>
    <cellStyle name="Heading 3" xfId="533"/>
    <cellStyle name="Heading 3 2" xfId="333"/>
    <cellStyle name="Heading 3 2 2" xfId="334"/>
    <cellStyle name="Heading 3 2 2 2" xfId="764"/>
    <cellStyle name="Heading 3 2 3" xfId="765"/>
    <cellStyle name="Heading 3 2 4" xfId="763"/>
    <cellStyle name="Heading 3 3" xfId="335"/>
    <cellStyle name="Heading 3 3 2" xfId="766"/>
    <cellStyle name="Heading 3 4" xfId="336"/>
    <cellStyle name="Heading 3 5" xfId="762"/>
    <cellStyle name="Heading 4" xfId="536"/>
    <cellStyle name="Heading 4 2" xfId="337"/>
    <cellStyle name="Heading 4 2 2" xfId="338"/>
    <cellStyle name="Heading 4 2 2 2" xfId="769"/>
    <cellStyle name="Heading 4 2 3" xfId="770"/>
    <cellStyle name="Heading 4 2 4" xfId="768"/>
    <cellStyle name="Heading 4 3" xfId="339"/>
    <cellStyle name="Heading 4 3 2" xfId="771"/>
    <cellStyle name="Heading 4 4" xfId="340"/>
    <cellStyle name="Heading 4 5" xfId="767"/>
    <cellStyle name="Input 2" xfId="341"/>
    <cellStyle name="Komma" xfId="289" builtinId="3"/>
    <cellStyle name="Linked Cell" xfId="541"/>
    <cellStyle name="Linked Cell 2" xfId="342"/>
    <cellStyle name="Linked Cell 2 2" xfId="772"/>
    <cellStyle name="Neutral" xfId="343" builtinId="28" customBuiltin="1"/>
    <cellStyle name="Normal 2" xfId="344"/>
    <cellStyle name="Note" xfId="350"/>
    <cellStyle name="Note 2" xfId="345"/>
    <cellStyle name="Note 2 2" xfId="346"/>
    <cellStyle name="Note 3" xfId="347"/>
    <cellStyle name="Note 3 2" xfId="773"/>
    <cellStyle name="Note 4" xfId="348"/>
    <cellStyle name="Note 4 2" xfId="775"/>
    <cellStyle name="Note 4 3" xfId="774"/>
    <cellStyle name="Note 5" xfId="349"/>
    <cellStyle name="Note 5 2" xfId="563"/>
    <cellStyle name="Note 5 2 2" xfId="776"/>
    <cellStyle name="Notiz 2" xfId="351"/>
    <cellStyle name="Notiz 2 2" xfId="352"/>
    <cellStyle name="Notiz 2 2 2" xfId="353"/>
    <cellStyle name="Notiz 2 2 2 2" xfId="354"/>
    <cellStyle name="Notiz 2 2 2 2 2" xfId="355"/>
    <cellStyle name="Notiz 2 2 2 2 2 2" xfId="777"/>
    <cellStyle name="Notiz 2 2 2 2 2 3" xfId="778"/>
    <cellStyle name="Notiz 2 2 2 2 2 4" xfId="779"/>
    <cellStyle name="Notiz 2 2 2 2 3" xfId="780"/>
    <cellStyle name="Notiz 2 2 2 2 4" xfId="781"/>
    <cellStyle name="Notiz 2 2 2 2 5" xfId="782"/>
    <cellStyle name="Notiz 2 2 2 3" xfId="356"/>
    <cellStyle name="Notiz 2 2 2 3 2" xfId="783"/>
    <cellStyle name="Notiz 2 2 2 3 3" xfId="784"/>
    <cellStyle name="Notiz 2 2 2 3 4" xfId="785"/>
    <cellStyle name="Notiz 2 2 2 4" xfId="786"/>
    <cellStyle name="Notiz 2 2 2 5" xfId="787"/>
    <cellStyle name="Notiz 2 2 2 6" xfId="788"/>
    <cellStyle name="Notiz 2 2 3" xfId="357"/>
    <cellStyle name="Notiz 2 2 3 2" xfId="358"/>
    <cellStyle name="Notiz 2 2 3 2 2" xfId="789"/>
    <cellStyle name="Notiz 2 2 3 2 3" xfId="790"/>
    <cellStyle name="Notiz 2 2 3 2 4" xfId="791"/>
    <cellStyle name="Notiz 2 2 3 3" xfId="792"/>
    <cellStyle name="Notiz 2 2 3 4" xfId="793"/>
    <cellStyle name="Notiz 2 2 3 5" xfId="794"/>
    <cellStyle name="Notiz 2 2 4" xfId="359"/>
    <cellStyle name="Notiz 2 2 4 2" xfId="360"/>
    <cellStyle name="Notiz 2 2 4 3" xfId="361"/>
    <cellStyle name="Notiz 2 2 4 3 2" xfId="362"/>
    <cellStyle name="Notiz 2 2 4 3 3" xfId="363"/>
    <cellStyle name="Notiz 2 2 4 3 4" xfId="795"/>
    <cellStyle name="Notiz 2 2 4 4" xfId="364"/>
    <cellStyle name="Notiz 2 2 4 4 2" xfId="564"/>
    <cellStyle name="Notiz 2 2 4 4 2 2" xfId="796"/>
    <cellStyle name="Notiz 2 2 4 5" xfId="797"/>
    <cellStyle name="Notiz 2 2 5" xfId="365"/>
    <cellStyle name="Notiz 2 2 5 2" xfId="366"/>
    <cellStyle name="Notiz 2 2 5 3" xfId="367"/>
    <cellStyle name="Notiz 2 2 5 4" xfId="368"/>
    <cellStyle name="Notiz 2 2 5 4 2" xfId="565"/>
    <cellStyle name="Notiz 2 2 5 4 3" xfId="799"/>
    <cellStyle name="Notiz 2 2 5 5" xfId="798"/>
    <cellStyle name="Notiz 2 2 6" xfId="800"/>
    <cellStyle name="Notiz 2 3" xfId="369"/>
    <cellStyle name="Notiz 2 3 2" xfId="370"/>
    <cellStyle name="Notiz 2 3 2 2" xfId="371"/>
    <cellStyle name="Notiz 2 3 2 2 2" xfId="801"/>
    <cellStyle name="Notiz 2 3 2 2 3" xfId="802"/>
    <cellStyle name="Notiz 2 3 2 2 4" xfId="803"/>
    <cellStyle name="Notiz 2 3 2 3" xfId="804"/>
    <cellStyle name="Notiz 2 3 2 4" xfId="805"/>
    <cellStyle name="Notiz 2 3 2 5" xfId="806"/>
    <cellStyle name="Notiz 2 3 3" xfId="372"/>
    <cellStyle name="Notiz 2 3 3 2" xfId="807"/>
    <cellStyle name="Notiz 2 3 3 3" xfId="808"/>
    <cellStyle name="Notiz 2 3 3 4" xfId="809"/>
    <cellStyle name="Notiz 2 3 4" xfId="810"/>
    <cellStyle name="Notiz 2 3 5" xfId="811"/>
    <cellStyle name="Notiz 2 3 6" xfId="812"/>
    <cellStyle name="Notiz 2 4" xfId="373"/>
    <cellStyle name="Notiz 2 4 2" xfId="374"/>
    <cellStyle name="Notiz 2 4 2 2" xfId="813"/>
    <cellStyle name="Notiz 2 4 2 3" xfId="814"/>
    <cellStyle name="Notiz 2 4 2 4" xfId="815"/>
    <cellStyle name="Notiz 2 4 3" xfId="816"/>
    <cellStyle name="Notiz 2 4 4" xfId="817"/>
    <cellStyle name="Notiz 2 4 5" xfId="818"/>
    <cellStyle name="Notiz 2 5" xfId="375"/>
    <cellStyle name="Notiz 2 5 2" xfId="819"/>
    <cellStyle name="Notiz 2 5 3" xfId="820"/>
    <cellStyle name="Notiz 2 5 4" xfId="821"/>
    <cellStyle name="Notiz 2 6" xfId="822"/>
    <cellStyle name="Notiz 2 7" xfId="823"/>
    <cellStyle name="Notiz 2 8" xfId="824"/>
    <cellStyle name="Notiz 3" xfId="376"/>
    <cellStyle name="Notiz 3 2" xfId="377"/>
    <cellStyle name="Notiz 3 2 2" xfId="378"/>
    <cellStyle name="Notiz 3 2 2 2" xfId="379"/>
    <cellStyle name="Notiz 3 2 2 2 2" xfId="825"/>
    <cellStyle name="Notiz 3 2 2 2 3" xfId="826"/>
    <cellStyle name="Notiz 3 2 2 2 4" xfId="827"/>
    <cellStyle name="Notiz 3 2 2 3" xfId="828"/>
    <cellStyle name="Notiz 3 2 2 4" xfId="829"/>
    <cellStyle name="Notiz 3 2 2 5" xfId="830"/>
    <cellStyle name="Notiz 3 2 3" xfId="380"/>
    <cellStyle name="Notiz 3 2 3 2" xfId="831"/>
    <cellStyle name="Notiz 3 2 3 3" xfId="832"/>
    <cellStyle name="Notiz 3 2 3 4" xfId="833"/>
    <cellStyle name="Notiz 3 2 4" xfId="834"/>
    <cellStyle name="Notiz 3 2 5" xfId="835"/>
    <cellStyle name="Notiz 3 2 6" xfId="836"/>
    <cellStyle name="Notiz 3 3" xfId="381"/>
    <cellStyle name="Notiz 3 3 2" xfId="382"/>
    <cellStyle name="Notiz 3 3 2 2" xfId="837"/>
    <cellStyle name="Notiz 3 3 2 3" xfId="838"/>
    <cellStyle name="Notiz 3 3 2 4" xfId="839"/>
    <cellStyle name="Notiz 3 3 3" xfId="840"/>
    <cellStyle name="Notiz 3 3 4" xfId="841"/>
    <cellStyle name="Notiz 3 3 5" xfId="842"/>
    <cellStyle name="Notiz 3 4" xfId="383"/>
    <cellStyle name="Notiz 3 4 2" xfId="843"/>
    <cellStyle name="Notiz 3 4 3" xfId="844"/>
    <cellStyle name="Notiz 3 4 4" xfId="845"/>
    <cellStyle name="Notiz 3 5" xfId="846"/>
    <cellStyle name="Notiz 3 6" xfId="847"/>
    <cellStyle name="Notiz 3 7" xfId="848"/>
    <cellStyle name="Notiz 4" xfId="384"/>
    <cellStyle name="Notiz 4 2" xfId="385"/>
    <cellStyle name="Notiz 4 2 2" xfId="386"/>
    <cellStyle name="Notiz 4 2 2 2" xfId="849"/>
    <cellStyle name="Notiz 4 2 2 3" xfId="850"/>
    <cellStyle name="Notiz 4 2 2 4" xfId="851"/>
    <cellStyle name="Notiz 4 2 3" xfId="852"/>
    <cellStyle name="Notiz 4 2 4" xfId="853"/>
    <cellStyle name="Notiz 4 2 5" xfId="854"/>
    <cellStyle name="Notiz 4 3" xfId="387"/>
    <cellStyle name="Notiz 4 3 2" xfId="855"/>
    <cellStyle name="Notiz 4 3 3" xfId="856"/>
    <cellStyle name="Notiz 4 3 4" xfId="857"/>
    <cellStyle name="Notiz 4 4" xfId="858"/>
    <cellStyle name="Notiz 4 5" xfId="859"/>
    <cellStyle name="Notiz 4 6" xfId="860"/>
    <cellStyle name="Notiz 5" xfId="388"/>
    <cellStyle name="Notiz 5 2" xfId="389"/>
    <cellStyle name="Notiz 5 2 2" xfId="390"/>
    <cellStyle name="Notiz 5 2 2 2" xfId="861"/>
    <cellStyle name="Notiz 5 2 2 3" xfId="862"/>
    <cellStyle name="Notiz 5 2 2 4" xfId="863"/>
    <cellStyle name="Notiz 5 2 3" xfId="864"/>
    <cellStyle name="Notiz 5 2 4" xfId="865"/>
    <cellStyle name="Notiz 5 2 5" xfId="866"/>
    <cellStyle name="Notiz 5 3" xfId="391"/>
    <cellStyle name="Notiz 5 3 2" xfId="867"/>
    <cellStyle name="Notiz 5 3 3" xfId="868"/>
    <cellStyle name="Notiz 5 3 4" xfId="869"/>
    <cellStyle name="Notiz 5 4" xfId="870"/>
    <cellStyle name="Notiz 5 5" xfId="871"/>
    <cellStyle name="Notiz 5 6" xfId="872"/>
    <cellStyle name="Notiz 6" xfId="392"/>
    <cellStyle name="Notiz 6 2" xfId="393"/>
    <cellStyle name="Notiz 6 2 2" xfId="873"/>
    <cellStyle name="Notiz 6 2 3" xfId="874"/>
    <cellStyle name="Notiz 6 2 4" xfId="875"/>
    <cellStyle name="Notiz 6 3" xfId="876"/>
    <cellStyle name="Notiz 6 4" xfId="877"/>
    <cellStyle name="Notiz 6 5" xfId="878"/>
    <cellStyle name="Notiz 7" xfId="394"/>
    <cellStyle name="Notiz 7 2" xfId="879"/>
    <cellStyle name="Notiz 7 3" xfId="880"/>
    <cellStyle name="Notiz 7 4" xfId="881"/>
    <cellStyle name="Notiz 8" xfId="395"/>
    <cellStyle name="Notiz 9" xfId="882"/>
    <cellStyle name="Output 2" xfId="396"/>
    <cellStyle name="Percent 2" xfId="566"/>
    <cellStyle name="Percent 3" xfId="572"/>
    <cellStyle name="Prozent" xfId="397" builtinId="5"/>
    <cellStyle name="Prozent 10" xfId="398"/>
    <cellStyle name="Prozent 10 2" xfId="399"/>
    <cellStyle name="Prozent 10 3" xfId="400"/>
    <cellStyle name="Prozent 10 3 2" xfId="884"/>
    <cellStyle name="Prozent 10 3 3" xfId="883"/>
    <cellStyle name="Prozent 10 4" xfId="401"/>
    <cellStyle name="Prozent 10 4 2" xfId="567"/>
    <cellStyle name="Prozent 10 4 3" xfId="885"/>
    <cellStyle name="Prozent 11" xfId="402"/>
    <cellStyle name="Prozent 12" xfId="403"/>
    <cellStyle name="Prozent 13" xfId="886"/>
    <cellStyle name="Prozent 2" xfId="404"/>
    <cellStyle name="Prozent 3" xfId="405"/>
    <cellStyle name="Prozent 3 2" xfId="406"/>
    <cellStyle name="Prozent 3 2 2" xfId="407"/>
    <cellStyle name="Prozent 3 2 2 2" xfId="408"/>
    <cellStyle name="Prozent 3 2 2 2 2" xfId="409"/>
    <cellStyle name="Prozent 3 2 2 2 2 2" xfId="887"/>
    <cellStyle name="Prozent 3 2 2 2 2 3" xfId="888"/>
    <cellStyle name="Prozent 3 2 2 2 2 4" xfId="889"/>
    <cellStyle name="Prozent 3 2 2 2 3" xfId="890"/>
    <cellStyle name="Prozent 3 2 2 2 4" xfId="891"/>
    <cellStyle name="Prozent 3 2 2 2 5" xfId="892"/>
    <cellStyle name="Prozent 3 2 2 3" xfId="410"/>
    <cellStyle name="Prozent 3 2 2 3 2" xfId="893"/>
    <cellStyle name="Prozent 3 2 2 3 3" xfId="894"/>
    <cellStyle name="Prozent 3 2 2 3 4" xfId="895"/>
    <cellStyle name="Prozent 3 2 2 4" xfId="896"/>
    <cellStyle name="Prozent 3 2 2 5" xfId="897"/>
    <cellStyle name="Prozent 3 2 2 6" xfId="898"/>
    <cellStyle name="Prozent 3 2 3" xfId="411"/>
    <cellStyle name="Prozent 3 2 3 2" xfId="412"/>
    <cellStyle name="Prozent 3 2 3 2 2" xfId="899"/>
    <cellStyle name="Prozent 3 2 3 2 3" xfId="900"/>
    <cellStyle name="Prozent 3 2 3 2 4" xfId="901"/>
    <cellStyle name="Prozent 3 2 3 3" xfId="902"/>
    <cellStyle name="Prozent 3 2 3 4" xfId="903"/>
    <cellStyle name="Prozent 3 2 3 5" xfId="904"/>
    <cellStyle name="Prozent 3 2 4" xfId="413"/>
    <cellStyle name="Prozent 3 2 4 2" xfId="414"/>
    <cellStyle name="Prozent 3 2 4 3" xfId="415"/>
    <cellStyle name="Prozent 3 2 4 4" xfId="905"/>
    <cellStyle name="Prozent 3 2 4 5" xfId="906"/>
    <cellStyle name="Prozent 3 2 5" xfId="416"/>
    <cellStyle name="Prozent 3 3" xfId="417"/>
    <cellStyle name="Prozent 3 3 2" xfId="418"/>
    <cellStyle name="Prozent 3 3 2 2" xfId="419"/>
    <cellStyle name="Prozent 3 3 2 2 2" xfId="907"/>
    <cellStyle name="Prozent 3 3 2 2 3" xfId="908"/>
    <cellStyle name="Prozent 3 3 2 2 4" xfId="909"/>
    <cellStyle name="Prozent 3 3 2 3" xfId="910"/>
    <cellStyle name="Prozent 3 3 2 4" xfId="911"/>
    <cellStyle name="Prozent 3 3 2 5" xfId="912"/>
    <cellStyle name="Prozent 3 3 3" xfId="420"/>
    <cellStyle name="Prozent 3 3 3 2" xfId="913"/>
    <cellStyle name="Prozent 3 3 3 3" xfId="914"/>
    <cellStyle name="Prozent 3 3 3 4" xfId="915"/>
    <cellStyle name="Prozent 3 3 4" xfId="916"/>
    <cellStyle name="Prozent 3 3 5" xfId="917"/>
    <cellStyle name="Prozent 3 3 6" xfId="918"/>
    <cellStyle name="Prozent 3 4" xfId="421"/>
    <cellStyle name="Prozent 3 4 2" xfId="422"/>
    <cellStyle name="Prozent 3 4 2 2" xfId="919"/>
    <cellStyle name="Prozent 3 4 2 3" xfId="920"/>
    <cellStyle name="Prozent 3 4 2 4" xfId="921"/>
    <cellStyle name="Prozent 3 4 3" xfId="922"/>
    <cellStyle name="Prozent 3 4 4" xfId="923"/>
    <cellStyle name="Prozent 3 4 5" xfId="924"/>
    <cellStyle name="Prozent 3 5" xfId="423"/>
    <cellStyle name="Prozent 3 5 2" xfId="925"/>
    <cellStyle name="Prozent 3 5 3" xfId="926"/>
    <cellStyle name="Prozent 3 5 4" xfId="927"/>
    <cellStyle name="Prozent 3 6" xfId="928"/>
    <cellStyle name="Prozent 3 7" xfId="929"/>
    <cellStyle name="Prozent 3 8" xfId="930"/>
    <cellStyle name="Prozent 4" xfId="424"/>
    <cellStyle name="Prozent 4 2" xfId="425"/>
    <cellStyle name="Prozent 4 2 2" xfId="426"/>
    <cellStyle name="Prozent 4 2 2 2" xfId="427"/>
    <cellStyle name="Prozent 4 2 2 2 2" xfId="428"/>
    <cellStyle name="Prozent 4 2 2 2 2 2" xfId="931"/>
    <cellStyle name="Prozent 4 2 2 2 2 3" xfId="932"/>
    <cellStyle name="Prozent 4 2 2 2 2 4" xfId="933"/>
    <cellStyle name="Prozent 4 2 2 2 3" xfId="934"/>
    <cellStyle name="Prozent 4 2 2 2 4" xfId="935"/>
    <cellStyle name="Prozent 4 2 2 2 5" xfId="936"/>
    <cellStyle name="Prozent 4 2 2 3" xfId="429"/>
    <cellStyle name="Prozent 4 2 2 3 2" xfId="937"/>
    <cellStyle name="Prozent 4 2 2 3 3" xfId="938"/>
    <cellStyle name="Prozent 4 2 2 3 4" xfId="939"/>
    <cellStyle name="Prozent 4 2 2 4" xfId="940"/>
    <cellStyle name="Prozent 4 2 2 5" xfId="941"/>
    <cellStyle name="Prozent 4 2 2 6" xfId="942"/>
    <cellStyle name="Prozent 4 2 3" xfId="430"/>
    <cellStyle name="Prozent 4 2 3 2" xfId="431"/>
    <cellStyle name="Prozent 4 2 3 2 2" xfId="943"/>
    <cellStyle name="Prozent 4 2 3 2 3" xfId="944"/>
    <cellStyle name="Prozent 4 2 3 2 4" xfId="945"/>
    <cellStyle name="Prozent 4 2 3 3" xfId="946"/>
    <cellStyle name="Prozent 4 2 3 4" xfId="947"/>
    <cellStyle name="Prozent 4 2 3 5" xfId="948"/>
    <cellStyle name="Prozent 4 2 4" xfId="432"/>
    <cellStyle name="Prozent 4 2 4 2" xfId="949"/>
    <cellStyle name="Prozent 4 2 4 3" xfId="950"/>
    <cellStyle name="Prozent 4 2 4 4" xfId="951"/>
    <cellStyle name="Prozent 4 2 5" xfId="952"/>
    <cellStyle name="Prozent 4 2 6" xfId="953"/>
    <cellStyle name="Prozent 4 2 7" xfId="954"/>
    <cellStyle name="Prozent 4 3" xfId="433"/>
    <cellStyle name="Prozent 4 3 2" xfId="434"/>
    <cellStyle name="Prozent 4 3 2 2" xfId="435"/>
    <cellStyle name="Prozent 4 3 2 2 2" xfId="955"/>
    <cellStyle name="Prozent 4 3 2 2 3" xfId="956"/>
    <cellStyle name="Prozent 4 3 2 2 4" xfId="957"/>
    <cellStyle name="Prozent 4 3 2 3" xfId="958"/>
    <cellStyle name="Prozent 4 3 2 4" xfId="959"/>
    <cellStyle name="Prozent 4 3 2 5" xfId="960"/>
    <cellStyle name="Prozent 4 3 3" xfId="436"/>
    <cellStyle name="Prozent 4 3 3 2" xfId="437"/>
    <cellStyle name="Prozent 4 3 3 2 2" xfId="961"/>
    <cellStyle name="Prozent 4 3 3 2 3" xfId="962"/>
    <cellStyle name="Prozent 4 3 3 2 4" xfId="963"/>
    <cellStyle name="Prozent 4 3 3 3" xfId="964"/>
    <cellStyle name="Prozent 4 3 3 4" xfId="965"/>
    <cellStyle name="Prozent 4 3 3 5" xfId="966"/>
    <cellStyle name="Prozent 4 3 4" xfId="438"/>
    <cellStyle name="Prozent 4 3 4 2" xfId="439"/>
    <cellStyle name="Prozent 4 3 4 3" xfId="440"/>
    <cellStyle name="Prozent 4 3 4 4" xfId="441"/>
    <cellStyle name="Prozent 4 3 4 4 2" xfId="568"/>
    <cellStyle name="Prozent 4 3 4 4 3" xfId="968"/>
    <cellStyle name="Prozent 4 3 4 5" xfId="967"/>
    <cellStyle name="Prozent 4 3 5" xfId="969"/>
    <cellStyle name="Prozent 4 4" xfId="442"/>
    <cellStyle name="Prozent 4 4 2" xfId="443"/>
    <cellStyle name="Prozent 4 4 2 2" xfId="970"/>
    <cellStyle name="Prozent 4 4 2 3" xfId="971"/>
    <cellStyle name="Prozent 4 4 2 4" xfId="972"/>
    <cellStyle name="Prozent 4 4 3" xfId="973"/>
    <cellStyle name="Prozent 4 4 4" xfId="974"/>
    <cellStyle name="Prozent 4 4 5" xfId="975"/>
    <cellStyle name="Prozent 4 5" xfId="444"/>
    <cellStyle name="Prozent 4 5 2" xfId="976"/>
    <cellStyle name="Prozent 4 5 3" xfId="977"/>
    <cellStyle name="Prozent 4 5 4" xfId="978"/>
    <cellStyle name="Prozent 4 6" xfId="979"/>
    <cellStyle name="Prozent 4 7" xfId="980"/>
    <cellStyle name="Prozent 4 8" xfId="981"/>
    <cellStyle name="Prozent 5" xfId="445"/>
    <cellStyle name="Prozent 5 2" xfId="446"/>
    <cellStyle name="Prozent 5 2 2" xfId="447"/>
    <cellStyle name="Prozent 5 2 2 2" xfId="448"/>
    <cellStyle name="Prozent 5 2 2 2 2" xfId="982"/>
    <cellStyle name="Prozent 5 2 2 2 3" xfId="983"/>
    <cellStyle name="Prozent 5 2 2 2 4" xfId="984"/>
    <cellStyle name="Prozent 5 2 2 3" xfId="985"/>
    <cellStyle name="Prozent 5 2 2 4" xfId="986"/>
    <cellStyle name="Prozent 5 2 2 5" xfId="987"/>
    <cellStyle name="Prozent 5 2 3" xfId="449"/>
    <cellStyle name="Prozent 5 2 3 2" xfId="988"/>
    <cellStyle name="Prozent 5 2 3 3" xfId="989"/>
    <cellStyle name="Prozent 5 2 3 4" xfId="990"/>
    <cellStyle name="Prozent 5 2 4" xfId="991"/>
    <cellStyle name="Prozent 5 2 5" xfId="992"/>
    <cellStyle name="Prozent 5 2 6" xfId="993"/>
    <cellStyle name="Prozent 5 3" xfId="450"/>
    <cellStyle name="Prozent 5 3 2" xfId="451"/>
    <cellStyle name="Prozent 5 3 2 2" xfId="994"/>
    <cellStyle name="Prozent 5 3 2 3" xfId="995"/>
    <cellStyle name="Prozent 5 3 2 4" xfId="996"/>
    <cellStyle name="Prozent 5 3 3" xfId="997"/>
    <cellStyle name="Prozent 5 3 4" xfId="998"/>
    <cellStyle name="Prozent 5 3 5" xfId="999"/>
    <cellStyle name="Prozent 5 4" xfId="452"/>
    <cellStyle name="Prozent 5 4 2" xfId="453"/>
    <cellStyle name="Prozent 5 4 3" xfId="454"/>
    <cellStyle name="Prozent 5 4 3 2" xfId="455"/>
    <cellStyle name="Prozent 5 4 3 3" xfId="456"/>
    <cellStyle name="Prozent 5 4 3 4" xfId="1000"/>
    <cellStyle name="Prozent 5 4 4" xfId="457"/>
    <cellStyle name="Prozent 5 4 4 2" xfId="569"/>
    <cellStyle name="Prozent 5 4 4 2 2" xfId="1001"/>
    <cellStyle name="Prozent 5 4 5" xfId="1002"/>
    <cellStyle name="Prozent 5 5" xfId="458"/>
    <cellStyle name="Prozent 5 5 2" xfId="459"/>
    <cellStyle name="Prozent 5 5 3" xfId="460"/>
    <cellStyle name="Prozent 5 5 4" xfId="461"/>
    <cellStyle name="Prozent 5 5 4 2" xfId="570"/>
    <cellStyle name="Prozent 5 5 4 3" xfId="1004"/>
    <cellStyle name="Prozent 5 5 5" xfId="1003"/>
    <cellStyle name="Prozent 5 6" xfId="1005"/>
    <cellStyle name="Prozent 6" xfId="462"/>
    <cellStyle name="Prozent 6 2" xfId="463"/>
    <cellStyle name="Prozent 6 2 2" xfId="464"/>
    <cellStyle name="Prozent 6 2 2 2" xfId="1006"/>
    <cellStyle name="Prozent 6 2 2 3" xfId="1007"/>
    <cellStyle name="Prozent 6 2 2 4" xfId="1008"/>
    <cellStyle name="Prozent 6 2 3" xfId="1009"/>
    <cellStyle name="Prozent 6 2 4" xfId="1010"/>
    <cellStyle name="Prozent 6 2 5" xfId="1011"/>
    <cellStyle name="Prozent 6 3" xfId="465"/>
    <cellStyle name="Prozent 6 3 2" xfId="1012"/>
    <cellStyle name="Prozent 6 3 3" xfId="1013"/>
    <cellStyle name="Prozent 6 3 4" xfId="1014"/>
    <cellStyle name="Prozent 6 4" xfId="1015"/>
    <cellStyle name="Prozent 6 5" xfId="1016"/>
    <cellStyle name="Prozent 6 6" xfId="1017"/>
    <cellStyle name="Prozent 7" xfId="466"/>
    <cellStyle name="Prozent 7 2" xfId="467"/>
    <cellStyle name="Prozent 7 2 2" xfId="468"/>
    <cellStyle name="Prozent 7 2 2 2" xfId="1018"/>
    <cellStyle name="Prozent 7 2 2 3" xfId="1019"/>
    <cellStyle name="Prozent 7 2 2 4" xfId="1020"/>
    <cellStyle name="Prozent 7 2 3" xfId="1021"/>
    <cellStyle name="Prozent 7 2 4" xfId="1022"/>
    <cellStyle name="Prozent 7 2 5" xfId="1023"/>
    <cellStyle name="Prozent 7 3" xfId="469"/>
    <cellStyle name="Prozent 7 3 2" xfId="1024"/>
    <cellStyle name="Prozent 7 3 3" xfId="1025"/>
    <cellStyle name="Prozent 7 3 4" xfId="1026"/>
    <cellStyle name="Prozent 7 4" xfId="1027"/>
    <cellStyle name="Prozent 7 5" xfId="1028"/>
    <cellStyle name="Prozent 7 6" xfId="1029"/>
    <cellStyle name="Prozent 8" xfId="470"/>
    <cellStyle name="Prozent 8 2" xfId="471"/>
    <cellStyle name="Prozent 8 2 2" xfId="472"/>
    <cellStyle name="Prozent 8 2 3" xfId="473"/>
    <cellStyle name="Prozent 8 2 4" xfId="1030"/>
    <cellStyle name="Prozent 8 3" xfId="474"/>
    <cellStyle name="Prozent 8 3 2" xfId="475"/>
    <cellStyle name="Prozent 8 3 2 2" xfId="476"/>
    <cellStyle name="Prozent 8 3 2 2 2" xfId="1032"/>
    <cellStyle name="Prozent 8 3 2 2 3" xfId="1031"/>
    <cellStyle name="Prozent 8 3 2 3" xfId="477"/>
    <cellStyle name="Prozent 8 3 2 3 2" xfId="1033"/>
    <cellStyle name="Prozent 8 3 2 4" xfId="1034"/>
    <cellStyle name="Prozent 8 3 2 5" xfId="1035"/>
    <cellStyle name="Prozent 8 3 3" xfId="478"/>
    <cellStyle name="Prozent 8 3 3 2" xfId="479"/>
    <cellStyle name="Prozent 8 3 3 3" xfId="480"/>
    <cellStyle name="Prozent 8 3 4" xfId="1036"/>
    <cellStyle name="Prozent 8 3 5" xfId="1037"/>
    <cellStyle name="Prozent 8 3 6" xfId="1038"/>
    <cellStyle name="Prozent 9" xfId="481"/>
    <cellStyle name="Prozent 9 2" xfId="1039"/>
    <cellStyle name="Prozent 9 3" xfId="1040"/>
    <cellStyle name="Prozent 9 4" xfId="1041"/>
    <cellStyle name="Schlecht 2" xfId="483"/>
    <cellStyle name="Schlecht 3" xfId="484"/>
    <cellStyle name="Standard" xfId="0" builtinId="0"/>
    <cellStyle name="Standard 2" xfId="485"/>
    <cellStyle name="Standard 2 2" xfId="486"/>
    <cellStyle name="Standard 2 2 2" xfId="487"/>
    <cellStyle name="Standard 2 2 3" xfId="488"/>
    <cellStyle name="Standard 2 3" xfId="489"/>
    <cellStyle name="Standard 2 4" xfId="490"/>
    <cellStyle name="Standard 2 5" xfId="491"/>
    <cellStyle name="Standard 2 6" xfId="492"/>
    <cellStyle name="Standard 3" xfId="493"/>
    <cellStyle name="Standard 3 2" xfId="494"/>
    <cellStyle name="Standard 3 2 2" xfId="495"/>
    <cellStyle name="Standard 3 2 2 2" xfId="496"/>
    <cellStyle name="Standard 3 2 2 2 2" xfId="497"/>
    <cellStyle name="Standard 3 2 2 2 2 2" xfId="1042"/>
    <cellStyle name="Standard 3 2 2 2 2 3" xfId="1043"/>
    <cellStyle name="Standard 3 2 2 2 2 4" xfId="1044"/>
    <cellStyle name="Standard 3 2 2 2 3" xfId="1045"/>
    <cellStyle name="Standard 3 2 2 2 4" xfId="1046"/>
    <cellStyle name="Standard 3 2 2 2 5" xfId="1047"/>
    <cellStyle name="Standard 3 2 2 3" xfId="498"/>
    <cellStyle name="Standard 3 2 2 3 2" xfId="1048"/>
    <cellStyle name="Standard 3 2 2 3 3" xfId="1049"/>
    <cellStyle name="Standard 3 2 2 3 4" xfId="1050"/>
    <cellStyle name="Standard 3 2 2 4" xfId="1051"/>
    <cellStyle name="Standard 3 2 2 5" xfId="1052"/>
    <cellStyle name="Standard 3 2 2 6" xfId="1053"/>
    <cellStyle name="Standard 3 2 3" xfId="499"/>
    <cellStyle name="Standard 3 2 3 2" xfId="500"/>
    <cellStyle name="Standard 3 2 3 2 2" xfId="1054"/>
    <cellStyle name="Standard 3 2 3 2 3" xfId="1055"/>
    <cellStyle name="Standard 3 2 3 2 4" xfId="1056"/>
    <cellStyle name="Standard 3 2 3 3" xfId="1057"/>
    <cellStyle name="Standard 3 2 3 4" xfId="1058"/>
    <cellStyle name="Standard 3 2 3 5" xfId="1059"/>
    <cellStyle name="Standard 3 2 4" xfId="501"/>
    <cellStyle name="Standard 3 2 4 2" xfId="502"/>
    <cellStyle name="Standard 3 2 4 3" xfId="503"/>
    <cellStyle name="Standard 3 2 4 4" xfId="1060"/>
    <cellStyle name="Standard 3 2 4 5" xfId="1061"/>
    <cellStyle name="Standard 3 2 5" xfId="504"/>
    <cellStyle name="Standard 3 2 6" xfId="505"/>
    <cellStyle name="Standard 3 3" xfId="506"/>
    <cellStyle name="Standard 3 3 2" xfId="507"/>
    <cellStyle name="Standard 3 3 2 2" xfId="508"/>
    <cellStyle name="Standard 3 3 2 2 2" xfId="1062"/>
    <cellStyle name="Standard 3 3 2 2 3" xfId="1063"/>
    <cellStyle name="Standard 3 3 2 2 4" xfId="1064"/>
    <cellStyle name="Standard 3 3 2 3" xfId="1065"/>
    <cellStyle name="Standard 3 3 2 4" xfId="1066"/>
    <cellStyle name="Standard 3 3 2 5" xfId="1067"/>
    <cellStyle name="Standard 3 3 3" xfId="509"/>
    <cellStyle name="Standard 3 3 3 2" xfId="1068"/>
    <cellStyle name="Standard 3 3 3 3" xfId="1069"/>
    <cellStyle name="Standard 3 3 3 4" xfId="1070"/>
    <cellStyle name="Standard 3 3 4" xfId="1071"/>
    <cellStyle name="Standard 3 3 5" xfId="1072"/>
    <cellStyle name="Standard 3 3 6" xfId="1073"/>
    <cellStyle name="Standard 3 4" xfId="510"/>
    <cellStyle name="Standard 3 4 2" xfId="511"/>
    <cellStyle name="Standard 3 4 2 2" xfId="1074"/>
    <cellStyle name="Standard 3 4 2 3" xfId="1075"/>
    <cellStyle name="Standard 3 4 2 4" xfId="1076"/>
    <cellStyle name="Standard 3 4 3" xfId="1077"/>
    <cellStyle name="Standard 3 4 4" xfId="1078"/>
    <cellStyle name="Standard 3 4 5" xfId="1079"/>
    <cellStyle name="Standard 3 5" xfId="512"/>
    <cellStyle name="Standard 3 5 2" xfId="1080"/>
    <cellStyle name="Standard 3 5 3" xfId="1081"/>
    <cellStyle name="Standard 3 5 4" xfId="1082"/>
    <cellStyle name="Standard 3 6" xfId="513"/>
    <cellStyle name="Standard 3 6 2" xfId="1084"/>
    <cellStyle name="Standard 3 6 3" xfId="1083"/>
    <cellStyle name="Standard 3 7" xfId="1085"/>
    <cellStyle name="Standard 3 8" xfId="1086"/>
    <cellStyle name="Standard 4" xfId="514"/>
    <cellStyle name="Standard 5" xfId="515"/>
    <cellStyle name="Standard 5 2" xfId="516"/>
    <cellStyle name="Standard 6" xfId="517"/>
    <cellStyle name="Standard 6 2" xfId="571"/>
    <cellStyle name="Standard 7" xfId="518"/>
    <cellStyle name="Standard_Bearbeitungsqualität 2011" xfId="519"/>
    <cellStyle name="Standard_Werte" xfId="520"/>
    <cellStyle name="Title" xfId="526"/>
    <cellStyle name="Title 2" xfId="521"/>
    <cellStyle name="Title 2 2" xfId="522"/>
    <cellStyle name="Title 2 2 2" xfId="1089"/>
    <cellStyle name="Title 2 3" xfId="1090"/>
    <cellStyle name="Title 2 4" xfId="1088"/>
    <cellStyle name="Title 3" xfId="523"/>
    <cellStyle name="Title 3 2" xfId="1091"/>
    <cellStyle name="Title 4" xfId="524"/>
    <cellStyle name="Title 5" xfId="1087"/>
    <cellStyle name="Total 2" xfId="525"/>
    <cellStyle name="Überschrift 1 2" xfId="528"/>
    <cellStyle name="Überschrift 1 3" xfId="529"/>
    <cellStyle name="Überschrift 1 4" xfId="1092"/>
    <cellStyle name="Überschrift 2 2" xfId="531"/>
    <cellStyle name="Überschrift 2 3" xfId="532"/>
    <cellStyle name="Überschrift 2 4" xfId="1093"/>
    <cellStyle name="Überschrift 3 2" xfId="534"/>
    <cellStyle name="Überschrift 3 3" xfId="535"/>
    <cellStyle name="Überschrift 3 4" xfId="1094"/>
    <cellStyle name="Überschrift 4 2" xfId="537"/>
    <cellStyle name="Überschrift 4 3" xfId="538"/>
    <cellStyle name="Überschrift 4 4" xfId="1095"/>
    <cellStyle name="Überschrift 5" xfId="539"/>
    <cellStyle name="Überschrift 6" xfId="540"/>
    <cellStyle name="Überschrift 7" xfId="1096"/>
    <cellStyle name="Verknüpfte Zelle 2" xfId="542"/>
    <cellStyle name="Verknüpfte Zelle 3" xfId="543"/>
    <cellStyle name="Warnender Text 2" xfId="544"/>
    <cellStyle name="Warnender Text 2 2" xfId="545"/>
    <cellStyle name="Warnender Text 2 3" xfId="546"/>
    <cellStyle name="Warnender Text 2 3 2" xfId="547"/>
    <cellStyle name="Warnender Text 2 3 2 2" xfId="1097"/>
    <cellStyle name="Warnender Text 3" xfId="548"/>
    <cellStyle name="Warnender Text 4" xfId="549"/>
    <cellStyle name="Warnender Text 5" xfId="550"/>
    <cellStyle name="Warnender Text 6" xfId="551"/>
    <cellStyle name="Zelle überprüfen 2" xfId="553"/>
    <cellStyle name="Zelle überprüfen 2 2" xfId="554"/>
    <cellStyle name="Zelle überprüfen 2 3" xfId="1098"/>
    <cellStyle name="Zelle überprüfen 3" xfId="555"/>
    <cellStyle name="Zelle überprüfen 3 2" xfId="1100"/>
    <cellStyle name="Zelle überprüfen 3 3" xfId="1099"/>
    <cellStyle name="Zelle überprüfen 4" xfId="556"/>
  </cellStyles>
  <dxfs count="200">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rgb="FFFF7C80"/>
        </patternFill>
      </fill>
    </dxf>
    <dxf>
      <fill>
        <patternFill>
          <bgColor indexed="22"/>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indexed="22"/>
        </patternFill>
      </fill>
    </dxf>
    <dxf>
      <fill>
        <patternFill>
          <bgColor rgb="FFFF7C80"/>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theme="1" tint="0.499984740745262"/>
        </patternFill>
      </fill>
    </dxf>
    <dxf>
      <fill>
        <patternFill>
          <bgColor rgb="FFFF7C80"/>
        </patternFill>
      </fill>
    </dxf>
    <dxf>
      <fill>
        <patternFill>
          <bgColor indexed="42"/>
        </patternFill>
      </fill>
    </dxf>
    <dxf>
      <fill>
        <patternFill>
          <bgColor indexed="43"/>
        </patternFill>
      </fill>
    </dxf>
    <dxf>
      <fill>
        <patternFill>
          <bgColor rgb="FFCCFFCC"/>
        </patternFill>
      </fill>
    </dxf>
    <dxf>
      <fill>
        <patternFill>
          <bgColor theme="0"/>
        </patternFill>
      </fill>
    </dxf>
    <dxf>
      <fill>
        <patternFill>
          <bgColor rgb="FFFF7C80"/>
        </patternFill>
      </fill>
    </dxf>
    <dxf>
      <fill>
        <patternFill>
          <bgColor indexed="22"/>
        </patternFill>
      </fill>
    </dxf>
    <dxf>
      <fill>
        <patternFill>
          <bgColor indexed="22"/>
        </patternFill>
      </fill>
    </dxf>
    <dxf>
      <fill>
        <patternFill>
          <bgColor rgb="FFFF7C80"/>
        </patternFill>
      </fill>
    </dxf>
    <dxf>
      <fill>
        <patternFill>
          <bgColor indexed="23"/>
        </patternFill>
      </fill>
    </dxf>
    <dxf>
      <fill>
        <patternFill>
          <bgColor rgb="FFFF7C80"/>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808080"/>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808080"/>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indexed="22"/>
        </patternFill>
      </fill>
    </dxf>
    <dxf>
      <fill>
        <patternFill>
          <bgColor indexed="23"/>
        </patternFill>
      </fill>
    </dxf>
    <dxf>
      <fill>
        <patternFill>
          <bgColor theme="0" tint="-0.24994659260841701"/>
        </patternFill>
      </fill>
    </dxf>
    <dxf>
      <fill>
        <patternFill>
          <bgColor theme="0" tint="-0.24994659260841701"/>
        </patternFill>
      </fill>
    </dxf>
    <dxf>
      <fill>
        <patternFill>
          <bgColor indexed="23"/>
        </patternFill>
      </fill>
    </dxf>
    <dxf>
      <fill>
        <patternFill>
          <bgColor indexed="22"/>
        </patternFill>
      </fill>
    </dxf>
    <dxf>
      <fill>
        <patternFill>
          <bgColor theme="0" tint="-0.24994659260841701"/>
        </patternFill>
      </fill>
    </dxf>
    <dxf>
      <fill>
        <patternFill>
          <bgColor theme="0" tint="-0.24994659260841701"/>
        </patternFill>
      </fill>
    </dxf>
    <dxf>
      <fill>
        <patternFill>
          <bgColor indexed="23"/>
        </patternFill>
      </fill>
    </dxf>
    <dxf>
      <fill>
        <patternFill>
          <bgColor indexed="22"/>
        </patternFill>
      </fill>
    </dxf>
    <dxf>
      <fill>
        <patternFill>
          <bgColor theme="0" tint="-0.24994659260841701"/>
        </patternFill>
      </fill>
    </dxf>
    <dxf>
      <fill>
        <patternFill>
          <bgColor theme="0" tint="-0.24994659260841701"/>
        </patternFill>
      </fill>
    </dxf>
    <dxf>
      <fill>
        <patternFill>
          <bgColor indexed="23"/>
        </patternFill>
      </fill>
    </dxf>
    <dxf>
      <fill>
        <patternFill>
          <bgColor indexed="2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indexed="42"/>
        </patternFill>
      </fill>
    </dxf>
    <dxf>
      <fill>
        <patternFill>
          <bgColor indexed="23"/>
        </patternFill>
      </fill>
    </dxf>
    <dxf>
      <fill>
        <patternFill>
          <bgColor rgb="FFFF7C80"/>
        </patternFill>
      </fill>
    </dxf>
    <dxf>
      <fill>
        <patternFill>
          <bgColor rgb="FFFF7C80"/>
        </patternFill>
      </fill>
    </dxf>
    <dxf>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theme="0" tint="-0.24994659260841701"/>
        </patternFill>
      </fill>
    </dxf>
    <dxf>
      <fill>
        <patternFill>
          <bgColor rgb="FFDCE6F1"/>
        </patternFill>
      </fill>
    </dxf>
    <dxf>
      <fill>
        <patternFill>
          <bgColor rgb="FFFFFF99"/>
        </patternFill>
      </fill>
    </dxf>
    <dxf>
      <fill>
        <patternFill>
          <bgColor rgb="FF99FF66"/>
        </patternFill>
      </fill>
    </dxf>
    <dxf>
      <fill>
        <patternFill>
          <bgColor rgb="FFFF7C80"/>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2"/>
        </patternFill>
      </fill>
    </dxf>
    <dxf>
      <fill>
        <patternFill>
          <bgColor indexed="43"/>
        </patternFill>
      </fill>
    </dxf>
    <dxf>
      <fill>
        <patternFill>
          <bgColor rgb="FF99FF66"/>
        </patternFill>
      </fill>
    </dxf>
    <dxf>
      <fill>
        <patternFill>
          <bgColor indexed="42"/>
        </patternFill>
      </fill>
    </dxf>
    <dxf>
      <fill>
        <patternFill>
          <bgColor indexed="43"/>
        </patternFill>
      </fill>
    </dxf>
    <dxf>
      <fill>
        <patternFill>
          <bgColor rgb="FF99FF66"/>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lightUp">
          <bgColor theme="0"/>
        </patternFill>
      </fill>
    </dxf>
    <dxf>
      <fill>
        <patternFill patternType="lightUp">
          <bgColor theme="0"/>
        </patternFill>
      </fill>
    </dxf>
    <dxf>
      <fill>
        <patternFill>
          <bgColor rgb="FF99FF66"/>
        </patternFill>
      </fill>
    </dxf>
    <dxf>
      <fill>
        <patternFill>
          <bgColor rgb="FFFF7C80"/>
        </patternFill>
      </fill>
    </dxf>
    <dxf>
      <fill>
        <patternFill>
          <bgColor theme="0"/>
        </patternFill>
      </fill>
    </dxf>
    <dxf>
      <fill>
        <patternFill>
          <bgColor rgb="FF99FF66"/>
        </patternFill>
      </fill>
    </dxf>
    <dxf>
      <fill>
        <patternFill>
          <bgColor rgb="FFFF7C80"/>
        </patternFill>
      </fill>
    </dxf>
    <dxf>
      <fill>
        <patternFill>
          <bgColor theme="0"/>
        </patternFill>
      </fill>
    </dxf>
    <dxf>
      <fill>
        <patternFill>
          <bgColor rgb="FFC0C0C0"/>
        </patternFill>
      </fill>
    </dxf>
    <dxf>
      <fill>
        <patternFill>
          <bgColor theme="0" tint="-0.24994659260841701"/>
        </patternFill>
      </fill>
    </dxf>
    <dxf>
      <fill>
        <patternFill>
          <bgColor theme="0" tint="-0.24994659260841701"/>
        </patternFill>
      </fill>
    </dxf>
    <dxf>
      <fill>
        <patternFill>
          <bgColor rgb="FFC0C0C0"/>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7" formatCode="[$-409]d\-mmm\-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DCE6F1"/>
      <color rgb="FF99CCFF"/>
      <color rgb="FFFFFF99"/>
      <color rgb="FFFF7C80"/>
      <color rgb="FF99FF66"/>
      <color rgb="FFCCFFCC"/>
      <color rgb="FF99FFCC"/>
      <color rgb="FFFF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0.jpeg"/><Relationship Id="rId1" Type="http://schemas.openxmlformats.org/officeDocument/2006/relationships/image" Target="../media/image9.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9.png"/><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9</xdr:col>
      <xdr:colOff>563880</xdr:colOff>
      <xdr:row>0</xdr:row>
      <xdr:rowOff>45720</xdr:rowOff>
    </xdr:from>
    <xdr:to>
      <xdr:col>11</xdr:col>
      <xdr:colOff>655320</xdr:colOff>
      <xdr:row>3</xdr:row>
      <xdr:rowOff>64770</xdr:rowOff>
    </xdr:to>
    <xdr:pic>
      <xdr:nvPicPr>
        <xdr:cNvPr id="187178" name="Grafik 1">
          <a:extLst>
            <a:ext uri="{FF2B5EF4-FFF2-40B4-BE49-F238E27FC236}">
              <a16:creationId xmlns:a16="http://schemas.microsoft.com/office/drawing/2014/main" xmlns="" id="{00000000-0008-0000-0100-00002ADB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660" y="45720"/>
          <a:ext cx="1240155"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1</xdr:row>
      <xdr:rowOff>0</xdr:rowOff>
    </xdr:from>
    <xdr:to>
      <xdr:col>9</xdr:col>
      <xdr:colOff>523875</xdr:colOff>
      <xdr:row>2</xdr:row>
      <xdr:rowOff>114300</xdr:rowOff>
    </xdr:to>
    <xdr:pic>
      <xdr:nvPicPr>
        <xdr:cNvPr id="187179" name="Bild 2" descr="DGS (060303)">
          <a:extLst>
            <a:ext uri="{FF2B5EF4-FFF2-40B4-BE49-F238E27FC236}">
              <a16:creationId xmlns:a16="http://schemas.microsoft.com/office/drawing/2014/main" xmlns="" id="{00000000-0008-0000-0100-00002BDB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86175" y="121920"/>
          <a:ext cx="15544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33</xdr:row>
      <xdr:rowOff>9525</xdr:rowOff>
    </xdr:from>
    <xdr:to>
      <xdr:col>8</xdr:col>
      <xdr:colOff>1360</xdr:colOff>
      <xdr:row>33</xdr:row>
      <xdr:rowOff>104775</xdr:rowOff>
    </xdr:to>
    <xdr:pic>
      <xdr:nvPicPr>
        <xdr:cNvPr id="187180" name="Grafik 45">
          <a:extLst>
            <a:ext uri="{FF2B5EF4-FFF2-40B4-BE49-F238E27FC236}">
              <a16:creationId xmlns:a16="http://schemas.microsoft.com/office/drawing/2014/main" xmlns="" id="{00000000-0008-0000-0100-00002C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762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33</xdr:row>
      <xdr:rowOff>9525</xdr:rowOff>
    </xdr:from>
    <xdr:to>
      <xdr:col>6</xdr:col>
      <xdr:colOff>0</xdr:colOff>
      <xdr:row>33</xdr:row>
      <xdr:rowOff>104775</xdr:rowOff>
    </xdr:to>
    <xdr:pic>
      <xdr:nvPicPr>
        <xdr:cNvPr id="187181" name="Grafik 46">
          <a:extLst>
            <a:ext uri="{FF2B5EF4-FFF2-40B4-BE49-F238E27FC236}">
              <a16:creationId xmlns:a16="http://schemas.microsoft.com/office/drawing/2014/main" xmlns="" id="{00000000-0008-0000-0100-00002D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2417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33</xdr:row>
      <xdr:rowOff>9525</xdr:rowOff>
    </xdr:from>
    <xdr:to>
      <xdr:col>7</xdr:col>
      <xdr:colOff>0</xdr:colOff>
      <xdr:row>33</xdr:row>
      <xdr:rowOff>104775</xdr:rowOff>
    </xdr:to>
    <xdr:pic>
      <xdr:nvPicPr>
        <xdr:cNvPr id="187182" name="Grafik 47">
          <a:extLst>
            <a:ext uri="{FF2B5EF4-FFF2-40B4-BE49-F238E27FC236}">
              <a16:creationId xmlns:a16="http://schemas.microsoft.com/office/drawing/2014/main" xmlns="" id="{00000000-0008-0000-0100-00002EDB02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09950"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1038225</xdr:colOff>
      <xdr:row>26</xdr:row>
      <xdr:rowOff>0</xdr:rowOff>
    </xdr:from>
    <xdr:to>
      <xdr:col>3</xdr:col>
      <xdr:colOff>0</xdr:colOff>
      <xdr:row>26</xdr:row>
      <xdr:rowOff>104775</xdr:rowOff>
    </xdr:to>
    <xdr:pic>
      <xdr:nvPicPr>
        <xdr:cNvPr id="187185" name="Grafik 21">
          <a:extLst>
            <a:ext uri="{FF2B5EF4-FFF2-40B4-BE49-F238E27FC236}">
              <a16:creationId xmlns:a16="http://schemas.microsoft.com/office/drawing/2014/main" xmlns="" id="{00000000-0008-0000-0100-000031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1225" y="4191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403860</xdr:colOff>
      <xdr:row>23</xdr:row>
      <xdr:rowOff>9525</xdr:rowOff>
    </xdr:from>
    <xdr:to>
      <xdr:col>6</xdr:col>
      <xdr:colOff>1088</xdr:colOff>
      <xdr:row>23</xdr:row>
      <xdr:rowOff>114300</xdr:rowOff>
    </xdr:to>
    <xdr:pic>
      <xdr:nvPicPr>
        <xdr:cNvPr id="187186" name="Grafik 22">
          <a:extLst>
            <a:ext uri="{FF2B5EF4-FFF2-40B4-BE49-F238E27FC236}">
              <a16:creationId xmlns:a16="http://schemas.microsoft.com/office/drawing/2014/main" xmlns="" id="{00000000-0008-0000-0100-000032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37510" y="3152775"/>
          <a:ext cx="8300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11</xdr:row>
      <xdr:rowOff>9525</xdr:rowOff>
    </xdr:from>
    <xdr:to>
      <xdr:col>12</xdr:col>
      <xdr:colOff>1088</xdr:colOff>
      <xdr:row>11</xdr:row>
      <xdr:rowOff>104775</xdr:rowOff>
    </xdr:to>
    <xdr:pic>
      <xdr:nvPicPr>
        <xdr:cNvPr id="187187" name="Grafik 23">
          <a:extLst>
            <a:ext uri="{FF2B5EF4-FFF2-40B4-BE49-F238E27FC236}">
              <a16:creationId xmlns:a16="http://schemas.microsoft.com/office/drawing/2014/main" xmlns="" id="{00000000-0008-0000-0100-000033DB02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79845" y="1685925"/>
          <a:ext cx="10205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13</xdr:row>
      <xdr:rowOff>9525</xdr:rowOff>
    </xdr:from>
    <xdr:to>
      <xdr:col>12</xdr:col>
      <xdr:colOff>1088</xdr:colOff>
      <xdr:row>13</xdr:row>
      <xdr:rowOff>114300</xdr:rowOff>
    </xdr:to>
    <xdr:pic>
      <xdr:nvPicPr>
        <xdr:cNvPr id="187188" name="Grafik 25">
          <a:extLst>
            <a:ext uri="{FF2B5EF4-FFF2-40B4-BE49-F238E27FC236}">
              <a16:creationId xmlns:a16="http://schemas.microsoft.com/office/drawing/2014/main" xmlns="" id="{00000000-0008-0000-0100-000034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9845" y="1914525"/>
          <a:ext cx="10205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9525</xdr:rowOff>
    </xdr:from>
    <xdr:to>
      <xdr:col>5</xdr:col>
      <xdr:colOff>0</xdr:colOff>
      <xdr:row>5</xdr:row>
      <xdr:rowOff>104775</xdr:rowOff>
    </xdr:to>
    <xdr:pic>
      <xdr:nvPicPr>
        <xdr:cNvPr id="187189" name="Grafik 26">
          <a:extLst>
            <a:ext uri="{FF2B5EF4-FFF2-40B4-BE49-F238E27FC236}">
              <a16:creationId xmlns:a16="http://schemas.microsoft.com/office/drawing/2014/main" xmlns="" id="{00000000-0008-0000-0100-000035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28875" y="752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33</xdr:row>
      <xdr:rowOff>9525</xdr:rowOff>
    </xdr:from>
    <xdr:to>
      <xdr:col>5</xdr:col>
      <xdr:colOff>0</xdr:colOff>
      <xdr:row>33</xdr:row>
      <xdr:rowOff>104775</xdr:rowOff>
    </xdr:to>
    <xdr:pic>
      <xdr:nvPicPr>
        <xdr:cNvPr id="187195" name="Grafik 18">
          <a:extLst>
            <a:ext uri="{FF2B5EF4-FFF2-40B4-BE49-F238E27FC236}">
              <a16:creationId xmlns:a16="http://schemas.microsoft.com/office/drawing/2014/main" xmlns="" id="{00000000-0008-0000-0100-00003B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28875" y="5095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533400</xdr:colOff>
      <xdr:row>33</xdr:row>
      <xdr:rowOff>9525</xdr:rowOff>
    </xdr:from>
    <xdr:to>
      <xdr:col>9</xdr:col>
      <xdr:colOff>1570</xdr:colOff>
      <xdr:row>33</xdr:row>
      <xdr:rowOff>104775</xdr:rowOff>
    </xdr:to>
    <xdr:pic>
      <xdr:nvPicPr>
        <xdr:cNvPr id="187197" name="Grafik 45">
          <a:extLst>
            <a:ext uri="{FF2B5EF4-FFF2-40B4-BE49-F238E27FC236}">
              <a16:creationId xmlns:a16="http://schemas.microsoft.com/office/drawing/2014/main" xmlns="" id="{00000000-0008-0000-0100-00003D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5686425"/>
          <a:ext cx="9682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632460</xdr:colOff>
      <xdr:row>40</xdr:row>
      <xdr:rowOff>9525</xdr:rowOff>
    </xdr:from>
    <xdr:to>
      <xdr:col>12</xdr:col>
      <xdr:colOff>1088</xdr:colOff>
      <xdr:row>40</xdr:row>
      <xdr:rowOff>95250</xdr:rowOff>
    </xdr:to>
    <xdr:pic>
      <xdr:nvPicPr>
        <xdr:cNvPr id="187199" name="Grafik 29">
          <a:extLst>
            <a:ext uri="{FF2B5EF4-FFF2-40B4-BE49-F238E27FC236}">
              <a16:creationId xmlns:a16="http://schemas.microsoft.com/office/drawing/2014/main" xmlns="" id="{00000000-0008-0000-0100-00003FDB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70320" y="7157085"/>
          <a:ext cx="11157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15</xdr:row>
      <xdr:rowOff>9525</xdr:rowOff>
    </xdr:from>
    <xdr:to>
      <xdr:col>5</xdr:col>
      <xdr:colOff>0</xdr:colOff>
      <xdr:row>15</xdr:row>
      <xdr:rowOff>104775</xdr:rowOff>
    </xdr:to>
    <xdr:pic>
      <xdr:nvPicPr>
        <xdr:cNvPr id="187206" name="Grafik 23">
          <a:extLst>
            <a:ext uri="{FF2B5EF4-FFF2-40B4-BE49-F238E27FC236}">
              <a16:creationId xmlns:a16="http://schemas.microsoft.com/office/drawing/2014/main" xmlns="" id="{00000000-0008-0000-0100-000046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8025" y="169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628650</xdr:colOff>
      <xdr:row>32</xdr:row>
      <xdr:rowOff>9525</xdr:rowOff>
    </xdr:from>
    <xdr:to>
      <xdr:col>12</xdr:col>
      <xdr:colOff>1570</xdr:colOff>
      <xdr:row>32</xdr:row>
      <xdr:rowOff>104775</xdr:rowOff>
    </xdr:to>
    <xdr:pic>
      <xdr:nvPicPr>
        <xdr:cNvPr id="5" name="Grafik 45">
          <a:extLst>
            <a:ext uri="{FF2B5EF4-FFF2-40B4-BE49-F238E27FC236}">
              <a16:creationId xmlns:a16="http://schemas.microsoft.com/office/drawing/2014/main" xmlns="" id="{73957A2B-51BF-470B-8568-91F72E85B8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24700" y="6353175"/>
          <a:ext cx="9682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628650</xdr:colOff>
      <xdr:row>34</xdr:row>
      <xdr:rowOff>9525</xdr:rowOff>
    </xdr:from>
    <xdr:to>
      <xdr:col>12</xdr:col>
      <xdr:colOff>1570</xdr:colOff>
      <xdr:row>34</xdr:row>
      <xdr:rowOff>104775</xdr:rowOff>
    </xdr:to>
    <xdr:pic>
      <xdr:nvPicPr>
        <xdr:cNvPr id="6" name="Grafik 45">
          <a:extLst>
            <a:ext uri="{FF2B5EF4-FFF2-40B4-BE49-F238E27FC236}">
              <a16:creationId xmlns:a16="http://schemas.microsoft.com/office/drawing/2014/main" xmlns="" id="{0F06539A-1521-4257-BCDB-46A45BAFD0B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24700" y="6696075"/>
          <a:ext cx="9682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542925</xdr:colOff>
      <xdr:row>29</xdr:row>
      <xdr:rowOff>9525</xdr:rowOff>
    </xdr:from>
    <xdr:to>
      <xdr:col>11</xdr:col>
      <xdr:colOff>635453</xdr:colOff>
      <xdr:row>29</xdr:row>
      <xdr:rowOff>95250</xdr:rowOff>
    </xdr:to>
    <xdr:pic>
      <xdr:nvPicPr>
        <xdr:cNvPr id="3" name="Grafik 29">
          <a:extLst>
            <a:ext uri="{FF2B5EF4-FFF2-40B4-BE49-F238E27FC236}">
              <a16:creationId xmlns:a16="http://schemas.microsoft.com/office/drawing/2014/main" xmlns="" id="{6C78FAEB-FE44-478C-957B-DFFC932528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38975" y="5267325"/>
          <a:ext cx="9252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638175</xdr:colOff>
      <xdr:row>29</xdr:row>
      <xdr:rowOff>9525</xdr:rowOff>
    </xdr:from>
    <xdr:to>
      <xdr:col>12</xdr:col>
      <xdr:colOff>2099</xdr:colOff>
      <xdr:row>29</xdr:row>
      <xdr:rowOff>95925</xdr:rowOff>
    </xdr:to>
    <xdr:pic>
      <xdr:nvPicPr>
        <xdr:cNvPr id="4" name="Grafik 45">
          <a:extLst>
            <a:ext uri="{FF2B5EF4-FFF2-40B4-BE49-F238E27FC236}">
              <a16:creationId xmlns:a16="http://schemas.microsoft.com/office/drawing/2014/main" xmlns="" id="{2F5136E3-8DD6-45A8-9547-6EA40371CBF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34225" y="5267325"/>
          <a:ext cx="87824"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1038225</xdr:colOff>
      <xdr:row>30</xdr:row>
      <xdr:rowOff>9525</xdr:rowOff>
    </xdr:from>
    <xdr:to>
      <xdr:col>2</xdr:col>
      <xdr:colOff>1130753</xdr:colOff>
      <xdr:row>30</xdr:row>
      <xdr:rowOff>95250</xdr:rowOff>
    </xdr:to>
    <xdr:pic>
      <xdr:nvPicPr>
        <xdr:cNvPr id="8" name="Grafik 29">
          <a:extLst>
            <a:ext uri="{FF2B5EF4-FFF2-40B4-BE49-F238E27FC236}">
              <a16:creationId xmlns:a16="http://schemas.microsoft.com/office/drawing/2014/main" xmlns="" id="{9A5B0585-F74A-4C20-A95A-4FC764D5EC5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81225" y="5438775"/>
          <a:ext cx="9252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11</xdr:row>
      <xdr:rowOff>9525</xdr:rowOff>
    </xdr:from>
    <xdr:to>
      <xdr:col>5</xdr:col>
      <xdr:colOff>0</xdr:colOff>
      <xdr:row>11</xdr:row>
      <xdr:rowOff>104775</xdr:rowOff>
    </xdr:to>
    <xdr:pic>
      <xdr:nvPicPr>
        <xdr:cNvPr id="2" name="Grafik 23">
          <a:extLst>
            <a:ext uri="{FF2B5EF4-FFF2-40B4-BE49-F238E27FC236}">
              <a16:creationId xmlns:a16="http://schemas.microsoft.com/office/drawing/2014/main" xmlns="" id="{C78F9490-FB22-46FA-AD4D-4070F85EC2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8025" y="169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13</xdr:row>
      <xdr:rowOff>9525</xdr:rowOff>
    </xdr:from>
    <xdr:to>
      <xdr:col>5</xdr:col>
      <xdr:colOff>0</xdr:colOff>
      <xdr:row>13</xdr:row>
      <xdr:rowOff>104775</xdr:rowOff>
    </xdr:to>
    <xdr:pic>
      <xdr:nvPicPr>
        <xdr:cNvPr id="9" name="Grafik 23">
          <a:extLst>
            <a:ext uri="{FF2B5EF4-FFF2-40B4-BE49-F238E27FC236}">
              <a16:creationId xmlns:a16="http://schemas.microsoft.com/office/drawing/2014/main" xmlns="" id="{11A7612A-E9F0-4FE4-BEF5-CC6230646D2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8025" y="1924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295275</xdr:colOff>
      <xdr:row>0</xdr:row>
      <xdr:rowOff>0</xdr:rowOff>
    </xdr:from>
    <xdr:to>
      <xdr:col>3</xdr:col>
      <xdr:colOff>76200</xdr:colOff>
      <xdr:row>3</xdr:row>
      <xdr:rowOff>19050</xdr:rowOff>
    </xdr:to>
    <xdr:pic>
      <xdr:nvPicPr>
        <xdr:cNvPr id="2" name="Grafik 1">
          <a:extLst>
            <a:ext uri="{FF2B5EF4-FFF2-40B4-BE49-F238E27FC236}">
              <a16:creationId xmlns:a16="http://schemas.microsoft.com/office/drawing/2014/main" xmlns="" id="{22B4CC9E-C462-43A7-A27D-88031BA0D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1419225</xdr:colOff>
      <xdr:row>4</xdr:row>
      <xdr:rowOff>0</xdr:rowOff>
    </xdr:from>
    <xdr:to>
      <xdr:col>3</xdr:col>
      <xdr:colOff>0</xdr:colOff>
      <xdr:row>4</xdr:row>
      <xdr:rowOff>104775</xdr:rowOff>
    </xdr:to>
    <xdr:pic>
      <xdr:nvPicPr>
        <xdr:cNvPr id="3" name="Grafik 15">
          <a:extLst>
            <a:ext uri="{FF2B5EF4-FFF2-40B4-BE49-F238E27FC236}">
              <a16:creationId xmlns:a16="http://schemas.microsoft.com/office/drawing/2014/main" xmlns="" id="{78A6176A-9CE3-4595-83DD-AAFE4CEFA1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704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9525</xdr:rowOff>
    </xdr:from>
    <xdr:to>
      <xdr:col>1</xdr:col>
      <xdr:colOff>0</xdr:colOff>
      <xdr:row>8</xdr:row>
      <xdr:rowOff>114300</xdr:rowOff>
    </xdr:to>
    <xdr:pic>
      <xdr:nvPicPr>
        <xdr:cNvPr id="4" name="Grafik 15">
          <a:extLst>
            <a:ext uri="{FF2B5EF4-FFF2-40B4-BE49-F238E27FC236}">
              <a16:creationId xmlns:a16="http://schemas.microsoft.com/office/drawing/2014/main" xmlns="" id="{69D6EF51-D17A-44CA-9B88-0F58036105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47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1724025</xdr:colOff>
      <xdr:row>0</xdr:row>
      <xdr:rowOff>19050</xdr:rowOff>
    </xdr:from>
    <xdr:to>
      <xdr:col>6</xdr:col>
      <xdr:colOff>47625</xdr:colOff>
      <xdr:row>3</xdr:row>
      <xdr:rowOff>38100</xdr:rowOff>
    </xdr:to>
    <xdr:pic>
      <xdr:nvPicPr>
        <xdr:cNvPr id="2" name="Grafik 1">
          <a:extLst>
            <a:ext uri="{FF2B5EF4-FFF2-40B4-BE49-F238E27FC236}">
              <a16:creationId xmlns:a16="http://schemas.microsoft.com/office/drawing/2014/main" xmlns="" id="{A1A10692-81E9-42A7-BF79-FC31739401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1066800</xdr:colOff>
      <xdr:row>5</xdr:row>
      <xdr:rowOff>9525</xdr:rowOff>
    </xdr:from>
    <xdr:to>
      <xdr:col>2</xdr:col>
      <xdr:colOff>0</xdr:colOff>
      <xdr:row>5</xdr:row>
      <xdr:rowOff>104775</xdr:rowOff>
    </xdr:to>
    <xdr:pic>
      <xdr:nvPicPr>
        <xdr:cNvPr id="5" name="Grafik 18">
          <a:extLst>
            <a:ext uri="{FF2B5EF4-FFF2-40B4-BE49-F238E27FC236}">
              <a16:creationId xmlns:a16="http://schemas.microsoft.com/office/drawing/2014/main" xmlns="" id="{A883647A-DA05-4539-AF87-1FDCD5B16E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137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2876550</xdr:colOff>
      <xdr:row>5</xdr:row>
      <xdr:rowOff>0</xdr:rowOff>
    </xdr:from>
    <xdr:to>
      <xdr:col>3</xdr:col>
      <xdr:colOff>0</xdr:colOff>
      <xdr:row>5</xdr:row>
      <xdr:rowOff>95250</xdr:rowOff>
    </xdr:to>
    <xdr:pic>
      <xdr:nvPicPr>
        <xdr:cNvPr id="6" name="Grafik 18">
          <a:extLst>
            <a:ext uri="{FF2B5EF4-FFF2-40B4-BE49-F238E27FC236}">
              <a16:creationId xmlns:a16="http://schemas.microsoft.com/office/drawing/2014/main" xmlns="" id="{E7AF5BFC-67FF-484B-AEEA-4CD26A751E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704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7" name="Grafik 18">
          <a:extLst>
            <a:ext uri="{FF2B5EF4-FFF2-40B4-BE49-F238E27FC236}">
              <a16:creationId xmlns:a16="http://schemas.microsoft.com/office/drawing/2014/main" xmlns="" id="{8BFC3CFD-41FC-438F-8C72-3CEA6C6C1E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781050</xdr:colOff>
      <xdr:row>5</xdr:row>
      <xdr:rowOff>9525</xdr:rowOff>
    </xdr:from>
    <xdr:to>
      <xdr:col>5</xdr:col>
      <xdr:colOff>9525</xdr:colOff>
      <xdr:row>5</xdr:row>
      <xdr:rowOff>104775</xdr:rowOff>
    </xdr:to>
    <xdr:pic>
      <xdr:nvPicPr>
        <xdr:cNvPr id="8" name="Grafik 18">
          <a:extLst>
            <a:ext uri="{FF2B5EF4-FFF2-40B4-BE49-F238E27FC236}">
              <a16:creationId xmlns:a16="http://schemas.microsoft.com/office/drawing/2014/main" xmlns="" id="{A77FEB23-2CF7-48E9-AA7E-FA44B86D8F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771525</xdr:colOff>
      <xdr:row>23</xdr:row>
      <xdr:rowOff>9525</xdr:rowOff>
    </xdr:from>
    <xdr:to>
      <xdr:col>5</xdr:col>
      <xdr:colOff>0</xdr:colOff>
      <xdr:row>23</xdr:row>
      <xdr:rowOff>104775</xdr:rowOff>
    </xdr:to>
    <xdr:pic>
      <xdr:nvPicPr>
        <xdr:cNvPr id="9" name="Grafik 18">
          <a:extLst>
            <a:ext uri="{FF2B5EF4-FFF2-40B4-BE49-F238E27FC236}">
              <a16:creationId xmlns:a16="http://schemas.microsoft.com/office/drawing/2014/main" xmlns="" id="{498DB948-AE30-4BFF-A120-AE502CC8A3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67056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114300</xdr:colOff>
      <xdr:row>0</xdr:row>
      <xdr:rowOff>66675</xdr:rowOff>
    </xdr:from>
    <xdr:to>
      <xdr:col>16</xdr:col>
      <xdr:colOff>66675</xdr:colOff>
      <xdr:row>4</xdr:row>
      <xdr:rowOff>28575</xdr:rowOff>
    </xdr:to>
    <xdr:pic>
      <xdr:nvPicPr>
        <xdr:cNvPr id="188241" name="Grafik 1">
          <a:extLst>
            <a:ext uri="{FF2B5EF4-FFF2-40B4-BE49-F238E27FC236}">
              <a16:creationId xmlns:a16="http://schemas.microsoft.com/office/drawing/2014/main" xmlns="" id="{00000000-0008-0000-0500-000051DF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4325" y="6667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1</xdr:row>
      <xdr:rowOff>47625</xdr:rowOff>
    </xdr:from>
    <xdr:to>
      <xdr:col>12</xdr:col>
      <xdr:colOff>352425</xdr:colOff>
      <xdr:row>3</xdr:row>
      <xdr:rowOff>9525</xdr:rowOff>
    </xdr:to>
    <xdr:pic>
      <xdr:nvPicPr>
        <xdr:cNvPr id="188242" name="Bild 2" descr="DGS (060303)">
          <a:extLst>
            <a:ext uri="{FF2B5EF4-FFF2-40B4-BE49-F238E27FC236}">
              <a16:creationId xmlns:a16="http://schemas.microsoft.com/office/drawing/2014/main" xmlns="" id="{00000000-0008-0000-0500-000052DF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225" y="171450"/>
          <a:ext cx="18002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952500</xdr:colOff>
      <xdr:row>4</xdr:row>
      <xdr:rowOff>9525</xdr:rowOff>
    </xdr:from>
    <xdr:to>
      <xdr:col>3</xdr:col>
      <xdr:colOff>9525</xdr:colOff>
      <xdr:row>4</xdr:row>
      <xdr:rowOff>114300</xdr:rowOff>
    </xdr:to>
    <xdr:pic>
      <xdr:nvPicPr>
        <xdr:cNvPr id="188243" name="Grafik 6">
          <a:extLst>
            <a:ext uri="{FF2B5EF4-FFF2-40B4-BE49-F238E27FC236}">
              <a16:creationId xmlns:a16="http://schemas.microsoft.com/office/drawing/2014/main" xmlns="" id="{00000000-0008-0000-0500-000053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5450"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18</xdr:row>
      <xdr:rowOff>9525</xdr:rowOff>
    </xdr:from>
    <xdr:to>
      <xdr:col>14</xdr:col>
      <xdr:colOff>529590</xdr:colOff>
      <xdr:row>18</xdr:row>
      <xdr:rowOff>114300</xdr:rowOff>
    </xdr:to>
    <xdr:pic>
      <xdr:nvPicPr>
        <xdr:cNvPr id="188244" name="Grafik 13">
          <a:extLst>
            <a:ext uri="{FF2B5EF4-FFF2-40B4-BE49-F238E27FC236}">
              <a16:creationId xmlns:a16="http://schemas.microsoft.com/office/drawing/2014/main" xmlns="" id="{00000000-0008-0000-0500-000054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793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36</xdr:row>
      <xdr:rowOff>9525</xdr:rowOff>
    </xdr:from>
    <xdr:to>
      <xdr:col>14</xdr:col>
      <xdr:colOff>529590</xdr:colOff>
      <xdr:row>36</xdr:row>
      <xdr:rowOff>114300</xdr:rowOff>
    </xdr:to>
    <xdr:pic>
      <xdr:nvPicPr>
        <xdr:cNvPr id="188245" name="Grafik 17">
          <a:extLst>
            <a:ext uri="{FF2B5EF4-FFF2-40B4-BE49-F238E27FC236}">
              <a16:creationId xmlns:a16="http://schemas.microsoft.com/office/drawing/2014/main" xmlns="" id="{00000000-0008-0000-0500-000055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4868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42</xdr:row>
      <xdr:rowOff>9525</xdr:rowOff>
    </xdr:from>
    <xdr:to>
      <xdr:col>14</xdr:col>
      <xdr:colOff>523875</xdr:colOff>
      <xdr:row>42</xdr:row>
      <xdr:rowOff>114300</xdr:rowOff>
    </xdr:to>
    <xdr:pic>
      <xdr:nvPicPr>
        <xdr:cNvPr id="188246" name="Grafik 18">
          <a:extLst>
            <a:ext uri="{FF2B5EF4-FFF2-40B4-BE49-F238E27FC236}">
              <a16:creationId xmlns:a16="http://schemas.microsoft.com/office/drawing/2014/main" xmlns="" id="{00000000-0008-0000-0500-000056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822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47</xdr:row>
      <xdr:rowOff>9525</xdr:rowOff>
    </xdr:from>
    <xdr:to>
      <xdr:col>14</xdr:col>
      <xdr:colOff>529590</xdr:colOff>
      <xdr:row>47</xdr:row>
      <xdr:rowOff>114300</xdr:rowOff>
    </xdr:to>
    <xdr:pic>
      <xdr:nvPicPr>
        <xdr:cNvPr id="188247" name="Grafik 20">
          <a:extLst>
            <a:ext uri="{FF2B5EF4-FFF2-40B4-BE49-F238E27FC236}">
              <a16:creationId xmlns:a16="http://schemas.microsoft.com/office/drawing/2014/main" xmlns="" id="{00000000-0008-0000-0500-000057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944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60</xdr:row>
      <xdr:rowOff>9525</xdr:rowOff>
    </xdr:from>
    <xdr:to>
      <xdr:col>14</xdr:col>
      <xdr:colOff>523875</xdr:colOff>
      <xdr:row>60</xdr:row>
      <xdr:rowOff>114300</xdr:rowOff>
    </xdr:to>
    <xdr:pic>
      <xdr:nvPicPr>
        <xdr:cNvPr id="188249" name="Grafik 25">
          <a:extLst>
            <a:ext uri="{FF2B5EF4-FFF2-40B4-BE49-F238E27FC236}">
              <a16:creationId xmlns:a16="http://schemas.microsoft.com/office/drawing/2014/main" xmlns="" id="{00000000-0008-0000-0500-000059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32794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78</xdr:row>
      <xdr:rowOff>9525</xdr:rowOff>
    </xdr:from>
    <xdr:to>
      <xdr:col>14</xdr:col>
      <xdr:colOff>523875</xdr:colOff>
      <xdr:row>78</xdr:row>
      <xdr:rowOff>114300</xdr:rowOff>
    </xdr:to>
    <xdr:pic>
      <xdr:nvPicPr>
        <xdr:cNvPr id="188250" name="Grafik 30">
          <a:extLst>
            <a:ext uri="{FF2B5EF4-FFF2-40B4-BE49-F238E27FC236}">
              <a16:creationId xmlns:a16="http://schemas.microsoft.com/office/drawing/2014/main" xmlns="" id="{00000000-0008-0000-0500-00005A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3850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39</xdr:row>
      <xdr:rowOff>9525</xdr:rowOff>
    </xdr:from>
    <xdr:to>
      <xdr:col>14</xdr:col>
      <xdr:colOff>523875</xdr:colOff>
      <xdr:row>39</xdr:row>
      <xdr:rowOff>114300</xdr:rowOff>
    </xdr:to>
    <xdr:pic>
      <xdr:nvPicPr>
        <xdr:cNvPr id="188253" name="Grafik 18">
          <a:extLst>
            <a:ext uri="{FF2B5EF4-FFF2-40B4-BE49-F238E27FC236}">
              <a16:creationId xmlns:a16="http://schemas.microsoft.com/office/drawing/2014/main" xmlns="" id="{00000000-0008-0000-0500-00005D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12</xdr:row>
      <xdr:rowOff>9525</xdr:rowOff>
    </xdr:from>
    <xdr:to>
      <xdr:col>14</xdr:col>
      <xdr:colOff>529590</xdr:colOff>
      <xdr:row>12</xdr:row>
      <xdr:rowOff>114300</xdr:rowOff>
    </xdr:to>
    <xdr:pic>
      <xdr:nvPicPr>
        <xdr:cNvPr id="188254" name="Grafik 18">
          <a:extLst>
            <a:ext uri="{FF2B5EF4-FFF2-40B4-BE49-F238E27FC236}">
              <a16:creationId xmlns:a16="http://schemas.microsoft.com/office/drawing/2014/main" xmlns="" id="{00000000-0008-0000-0500-00005E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56788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39</xdr:row>
      <xdr:rowOff>9525</xdr:rowOff>
    </xdr:from>
    <xdr:to>
      <xdr:col>14</xdr:col>
      <xdr:colOff>523875</xdr:colOff>
      <xdr:row>39</xdr:row>
      <xdr:rowOff>114300</xdr:rowOff>
    </xdr:to>
    <xdr:pic>
      <xdr:nvPicPr>
        <xdr:cNvPr id="188255" name="Grafik 18">
          <a:extLst>
            <a:ext uri="{FF2B5EF4-FFF2-40B4-BE49-F238E27FC236}">
              <a16:creationId xmlns:a16="http://schemas.microsoft.com/office/drawing/2014/main" xmlns="" id="{00000000-0008-0000-0500-00005F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6</xdr:row>
      <xdr:rowOff>9525</xdr:rowOff>
    </xdr:from>
    <xdr:to>
      <xdr:col>14</xdr:col>
      <xdr:colOff>529590</xdr:colOff>
      <xdr:row>6</xdr:row>
      <xdr:rowOff>114300</xdr:rowOff>
    </xdr:to>
    <xdr:pic>
      <xdr:nvPicPr>
        <xdr:cNvPr id="188265" name="Grafik 18">
          <a:extLst>
            <a:ext uri="{FF2B5EF4-FFF2-40B4-BE49-F238E27FC236}">
              <a16:creationId xmlns:a16="http://schemas.microsoft.com/office/drawing/2014/main" xmlns="" id="{00000000-0008-0000-0500-000069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7295" y="376618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9</xdr:row>
      <xdr:rowOff>9525</xdr:rowOff>
    </xdr:from>
    <xdr:to>
      <xdr:col>14</xdr:col>
      <xdr:colOff>529590</xdr:colOff>
      <xdr:row>9</xdr:row>
      <xdr:rowOff>114300</xdr:rowOff>
    </xdr:to>
    <xdr:pic>
      <xdr:nvPicPr>
        <xdr:cNvPr id="188266" name="Grafik 18">
          <a:extLst>
            <a:ext uri="{FF2B5EF4-FFF2-40B4-BE49-F238E27FC236}">
              <a16:creationId xmlns:a16="http://schemas.microsoft.com/office/drawing/2014/main" xmlns="" id="{00000000-0008-0000-0500-00006A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7295" y="46120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7</xdr:row>
      <xdr:rowOff>9525</xdr:rowOff>
    </xdr:from>
    <xdr:to>
      <xdr:col>16</xdr:col>
      <xdr:colOff>3105150</xdr:colOff>
      <xdr:row>7</xdr:row>
      <xdr:rowOff>114300</xdr:rowOff>
    </xdr:to>
    <xdr:pic>
      <xdr:nvPicPr>
        <xdr:cNvPr id="188267" name="Grafik 18">
          <a:extLst>
            <a:ext uri="{FF2B5EF4-FFF2-40B4-BE49-F238E27FC236}">
              <a16:creationId xmlns:a16="http://schemas.microsoft.com/office/drawing/2014/main" xmlns="" id="{00000000-0008-0000-0500-00006B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25375" y="38671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4890135</xdr:colOff>
      <xdr:row>7</xdr:row>
      <xdr:rowOff>9525</xdr:rowOff>
    </xdr:from>
    <xdr:to>
      <xdr:col>17</xdr:col>
      <xdr:colOff>3810</xdr:colOff>
      <xdr:row>7</xdr:row>
      <xdr:rowOff>114300</xdr:rowOff>
    </xdr:to>
    <xdr:pic>
      <xdr:nvPicPr>
        <xdr:cNvPr id="188268" name="Grafik 18">
          <a:extLst>
            <a:ext uri="{FF2B5EF4-FFF2-40B4-BE49-F238E27FC236}">
              <a16:creationId xmlns:a16="http://schemas.microsoft.com/office/drawing/2014/main" xmlns="" id="{00000000-0008-0000-0500-00006C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30375" y="3933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4</xdr:row>
      <xdr:rowOff>9525</xdr:rowOff>
    </xdr:from>
    <xdr:to>
      <xdr:col>13</xdr:col>
      <xdr:colOff>9525</xdr:colOff>
      <xdr:row>4</xdr:row>
      <xdr:rowOff>114300</xdr:rowOff>
    </xdr:to>
    <xdr:pic>
      <xdr:nvPicPr>
        <xdr:cNvPr id="188270" name="Grafik 6">
          <a:extLst>
            <a:ext uri="{FF2B5EF4-FFF2-40B4-BE49-F238E27FC236}">
              <a16:creationId xmlns:a16="http://schemas.microsoft.com/office/drawing/2014/main" xmlns="" id="{00000000-0008-0000-0500-00006E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247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320040</xdr:colOff>
      <xdr:row>6</xdr:row>
      <xdr:rowOff>9525</xdr:rowOff>
    </xdr:from>
    <xdr:to>
      <xdr:col>0</xdr:col>
      <xdr:colOff>415290</xdr:colOff>
      <xdr:row>6</xdr:row>
      <xdr:rowOff>114300</xdr:rowOff>
    </xdr:to>
    <xdr:pic>
      <xdr:nvPicPr>
        <xdr:cNvPr id="188271" name="Grafik 6">
          <a:extLst>
            <a:ext uri="{FF2B5EF4-FFF2-40B4-BE49-F238E27FC236}">
              <a16:creationId xmlns:a16="http://schemas.microsoft.com/office/drawing/2014/main" xmlns="" id="{00000000-0008-0000-0500-00006F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040" y="3766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224790</xdr:colOff>
      <xdr:row>6</xdr:row>
      <xdr:rowOff>9525</xdr:rowOff>
    </xdr:from>
    <xdr:to>
      <xdr:col>1</xdr:col>
      <xdr:colOff>320040</xdr:colOff>
      <xdr:row>6</xdr:row>
      <xdr:rowOff>114300</xdr:rowOff>
    </xdr:to>
    <xdr:pic>
      <xdr:nvPicPr>
        <xdr:cNvPr id="188272" name="Grafik 6">
          <a:extLst>
            <a:ext uri="{FF2B5EF4-FFF2-40B4-BE49-F238E27FC236}">
              <a16:creationId xmlns:a16="http://schemas.microsoft.com/office/drawing/2014/main" xmlns="" id="{00000000-0008-0000-0500-000070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130" y="3766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45</xdr:row>
      <xdr:rowOff>9525</xdr:rowOff>
    </xdr:from>
    <xdr:to>
      <xdr:col>14</xdr:col>
      <xdr:colOff>529590</xdr:colOff>
      <xdr:row>45</xdr:row>
      <xdr:rowOff>114300</xdr:rowOff>
    </xdr:to>
    <xdr:pic>
      <xdr:nvPicPr>
        <xdr:cNvPr id="188276" name="Grafik 20">
          <a:extLst>
            <a:ext uri="{FF2B5EF4-FFF2-40B4-BE49-F238E27FC236}">
              <a16:creationId xmlns:a16="http://schemas.microsoft.com/office/drawing/2014/main" xmlns="" id="{00000000-0008-0000-0500-000074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8678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41</xdr:row>
      <xdr:rowOff>9525</xdr:rowOff>
    </xdr:from>
    <xdr:to>
      <xdr:col>14</xdr:col>
      <xdr:colOff>529590</xdr:colOff>
      <xdr:row>41</xdr:row>
      <xdr:rowOff>95250</xdr:rowOff>
    </xdr:to>
    <xdr:pic>
      <xdr:nvPicPr>
        <xdr:cNvPr id="38" name="Grafik 29">
          <a:extLst>
            <a:ext uri="{FF2B5EF4-FFF2-40B4-BE49-F238E27FC236}">
              <a16:creationId xmlns:a16="http://schemas.microsoft.com/office/drawing/2014/main" xmlns="" id="{00000000-0008-0000-0500-00002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37295" y="171545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75</xdr:row>
      <xdr:rowOff>9525</xdr:rowOff>
    </xdr:from>
    <xdr:to>
      <xdr:col>14</xdr:col>
      <xdr:colOff>529590</xdr:colOff>
      <xdr:row>75</xdr:row>
      <xdr:rowOff>95250</xdr:rowOff>
    </xdr:to>
    <xdr:pic>
      <xdr:nvPicPr>
        <xdr:cNvPr id="30" name="Grafik 29">
          <a:extLst>
            <a:ext uri="{FF2B5EF4-FFF2-40B4-BE49-F238E27FC236}">
              <a16:creationId xmlns:a16="http://schemas.microsoft.com/office/drawing/2014/main" xmlns="" id="{00000000-0008-0000-05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37295" y="296513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50</xdr:row>
      <xdr:rowOff>9525</xdr:rowOff>
    </xdr:from>
    <xdr:to>
      <xdr:col>14</xdr:col>
      <xdr:colOff>529590</xdr:colOff>
      <xdr:row>50</xdr:row>
      <xdr:rowOff>114300</xdr:rowOff>
    </xdr:to>
    <xdr:pic>
      <xdr:nvPicPr>
        <xdr:cNvPr id="31" name="Grafik 20">
          <a:extLst>
            <a:ext uri="{FF2B5EF4-FFF2-40B4-BE49-F238E27FC236}">
              <a16:creationId xmlns:a16="http://schemas.microsoft.com/office/drawing/2014/main" xmlns="" id="{00000000-0008-0000-0500-00001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2058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4751070</xdr:colOff>
      <xdr:row>7</xdr:row>
      <xdr:rowOff>13335</xdr:rowOff>
    </xdr:from>
    <xdr:to>
      <xdr:col>16</xdr:col>
      <xdr:colOff>4855845</xdr:colOff>
      <xdr:row>7</xdr:row>
      <xdr:rowOff>118110</xdr:rowOff>
    </xdr:to>
    <xdr:pic>
      <xdr:nvPicPr>
        <xdr:cNvPr id="32" name="Grafik 18">
          <a:extLst>
            <a:ext uri="{FF2B5EF4-FFF2-40B4-BE49-F238E27FC236}">
              <a16:creationId xmlns:a16="http://schemas.microsoft.com/office/drawing/2014/main" xmlns="" id="{00000000-0008-0000-05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18895" y="396621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952500</xdr:colOff>
      <xdr:row>35</xdr:row>
      <xdr:rowOff>0</xdr:rowOff>
    </xdr:from>
    <xdr:to>
      <xdr:col>3</xdr:col>
      <xdr:colOff>0</xdr:colOff>
      <xdr:row>35</xdr:row>
      <xdr:rowOff>104775</xdr:rowOff>
    </xdr:to>
    <xdr:pic>
      <xdr:nvPicPr>
        <xdr:cNvPr id="2" name="Grafik 17">
          <a:extLst>
            <a:ext uri="{FF2B5EF4-FFF2-40B4-BE49-F238E27FC236}">
              <a16:creationId xmlns:a16="http://schemas.microsoft.com/office/drawing/2014/main" xmlns="" id="{68C81066-FC70-4145-8651-04C9C5EF70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5450" y="12134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619125</xdr:colOff>
      <xdr:row>34</xdr:row>
      <xdr:rowOff>371475</xdr:rowOff>
    </xdr:from>
    <xdr:to>
      <xdr:col>6</xdr:col>
      <xdr:colOff>714375</xdr:colOff>
      <xdr:row>35</xdr:row>
      <xdr:rowOff>95250</xdr:rowOff>
    </xdr:to>
    <xdr:pic>
      <xdr:nvPicPr>
        <xdr:cNvPr id="3" name="Grafik 17">
          <a:extLst>
            <a:ext uri="{FF2B5EF4-FFF2-40B4-BE49-F238E27FC236}">
              <a16:creationId xmlns:a16="http://schemas.microsoft.com/office/drawing/2014/main" xmlns="" id="{FA4B516C-6FDB-4469-9BAA-9D9DC4891B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3475" y="121253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59</xdr:row>
      <xdr:rowOff>0</xdr:rowOff>
    </xdr:from>
    <xdr:to>
      <xdr:col>14</xdr:col>
      <xdr:colOff>523875</xdr:colOff>
      <xdr:row>59</xdr:row>
      <xdr:rowOff>104775</xdr:rowOff>
    </xdr:to>
    <xdr:pic>
      <xdr:nvPicPr>
        <xdr:cNvPr id="4" name="Grafik 25">
          <a:extLst>
            <a:ext uri="{FF2B5EF4-FFF2-40B4-BE49-F238E27FC236}">
              <a16:creationId xmlns:a16="http://schemas.microsoft.com/office/drawing/2014/main" xmlns="" id="{190A63D9-A12D-4751-A00E-219D0C655F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21383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942975</xdr:colOff>
      <xdr:row>6</xdr:row>
      <xdr:rowOff>0</xdr:rowOff>
    </xdr:from>
    <xdr:to>
      <xdr:col>2</xdr:col>
      <xdr:colOff>1038225</xdr:colOff>
      <xdr:row>6</xdr:row>
      <xdr:rowOff>104775</xdr:rowOff>
    </xdr:to>
    <xdr:pic>
      <xdr:nvPicPr>
        <xdr:cNvPr id="5" name="Grafik 6">
          <a:extLst>
            <a:ext uri="{FF2B5EF4-FFF2-40B4-BE49-F238E27FC236}">
              <a16:creationId xmlns:a16="http://schemas.microsoft.com/office/drawing/2014/main" xmlns="" id="{8232AA39-162C-4011-8EF8-A2C83AB800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925" y="8763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1885950</xdr:colOff>
      <xdr:row>5</xdr:row>
      <xdr:rowOff>9525</xdr:rowOff>
    </xdr:from>
    <xdr:to>
      <xdr:col>10</xdr:col>
      <xdr:colOff>0</xdr:colOff>
      <xdr:row>5</xdr:row>
      <xdr:rowOff>114300</xdr:rowOff>
    </xdr:to>
    <xdr:pic>
      <xdr:nvPicPr>
        <xdr:cNvPr id="179680" name="Grafik 3">
          <a:extLst>
            <a:ext uri="{FF2B5EF4-FFF2-40B4-BE49-F238E27FC236}">
              <a16:creationId xmlns:a16="http://schemas.microsoft.com/office/drawing/2014/main" xmlns="" id="{00000000-0008-0000-0800-0000E0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83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7</xdr:row>
      <xdr:rowOff>9525</xdr:rowOff>
    </xdr:from>
    <xdr:to>
      <xdr:col>6</xdr:col>
      <xdr:colOff>0</xdr:colOff>
      <xdr:row>7</xdr:row>
      <xdr:rowOff>104775</xdr:rowOff>
    </xdr:to>
    <xdr:pic>
      <xdr:nvPicPr>
        <xdr:cNvPr id="179681" name="Grafik 4">
          <a:extLst>
            <a:ext uri="{FF2B5EF4-FFF2-40B4-BE49-F238E27FC236}">
              <a16:creationId xmlns:a16="http://schemas.microsoft.com/office/drawing/2014/main" xmlns="" id="{00000000-0008-0000-0800-0000E1BD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638175</xdr:colOff>
      <xdr:row>1</xdr:row>
      <xdr:rowOff>104775</xdr:rowOff>
    </xdr:from>
    <xdr:to>
      <xdr:col>10</xdr:col>
      <xdr:colOff>2019300</xdr:colOff>
      <xdr:row>3</xdr:row>
      <xdr:rowOff>28575</xdr:rowOff>
    </xdr:to>
    <xdr:pic>
      <xdr:nvPicPr>
        <xdr:cNvPr id="179682" name="Grafik 1">
          <a:extLst>
            <a:ext uri="{FF2B5EF4-FFF2-40B4-BE49-F238E27FC236}">
              <a16:creationId xmlns:a16="http://schemas.microsoft.com/office/drawing/2014/main" xmlns="" id="{00000000-0008-0000-0800-0000E2BD0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62850" y="104775"/>
          <a:ext cx="1381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9</xdr:col>
      <xdr:colOff>1981200</xdr:colOff>
      <xdr:row>5</xdr:row>
      <xdr:rowOff>114300</xdr:rowOff>
    </xdr:to>
    <xdr:pic>
      <xdr:nvPicPr>
        <xdr:cNvPr id="179683" name="Grafik 3">
          <a:extLst>
            <a:ext uri="{FF2B5EF4-FFF2-40B4-BE49-F238E27FC236}">
              <a16:creationId xmlns:a16="http://schemas.microsoft.com/office/drawing/2014/main" xmlns="" id="{00000000-0008-0000-0800-0000E3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762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1885950</xdr:colOff>
      <xdr:row>7</xdr:row>
      <xdr:rowOff>9525</xdr:rowOff>
    </xdr:from>
    <xdr:to>
      <xdr:col>10</xdr:col>
      <xdr:colOff>0</xdr:colOff>
      <xdr:row>7</xdr:row>
      <xdr:rowOff>104775</xdr:rowOff>
    </xdr:to>
    <xdr:pic>
      <xdr:nvPicPr>
        <xdr:cNvPr id="6" name="Grafik 4">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133350</xdr:colOff>
      <xdr:row>1</xdr:row>
      <xdr:rowOff>0</xdr:rowOff>
    </xdr:from>
    <xdr:to>
      <xdr:col>31</xdr:col>
      <xdr:colOff>0</xdr:colOff>
      <xdr:row>4</xdr:row>
      <xdr:rowOff>114300</xdr:rowOff>
    </xdr:to>
    <xdr:pic>
      <xdr:nvPicPr>
        <xdr:cNvPr id="185552" name="Grafik 1">
          <a:extLst>
            <a:ext uri="{FF2B5EF4-FFF2-40B4-BE49-F238E27FC236}">
              <a16:creationId xmlns:a16="http://schemas.microsoft.com/office/drawing/2014/main" xmlns="" id="{00000000-0008-0000-0A00-0000D0D4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200025</xdr:colOff>
      <xdr:row>1</xdr:row>
      <xdr:rowOff>123825</xdr:rowOff>
    </xdr:from>
    <xdr:to>
      <xdr:col>26</xdr:col>
      <xdr:colOff>57150</xdr:colOff>
      <xdr:row>3</xdr:row>
      <xdr:rowOff>76200</xdr:rowOff>
    </xdr:to>
    <xdr:pic>
      <xdr:nvPicPr>
        <xdr:cNvPr id="185553" name="Bild 2" descr="DGS (060303)">
          <a:extLst>
            <a:ext uri="{FF2B5EF4-FFF2-40B4-BE49-F238E27FC236}">
              <a16:creationId xmlns:a16="http://schemas.microsoft.com/office/drawing/2014/main" xmlns="" id="{00000000-0008-0000-0A00-0000D1D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0975"/>
          <a:ext cx="1743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485775</xdr:colOff>
      <xdr:row>4</xdr:row>
      <xdr:rowOff>9525</xdr:rowOff>
    </xdr:from>
    <xdr:to>
      <xdr:col>18</xdr:col>
      <xdr:colOff>0</xdr:colOff>
      <xdr:row>4</xdr:row>
      <xdr:rowOff>104775</xdr:rowOff>
    </xdr:to>
    <xdr:pic>
      <xdr:nvPicPr>
        <xdr:cNvPr id="185554" name="Grafik 4">
          <a:extLst>
            <a:ext uri="{FF2B5EF4-FFF2-40B4-BE49-F238E27FC236}">
              <a16:creationId xmlns:a16="http://schemas.microsoft.com/office/drawing/2014/main" xmlns="" id="{00000000-0008-0000-0A00-0000D2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76875" y="581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xdr:colOff>
      <xdr:row>6</xdr:row>
      <xdr:rowOff>9525</xdr:rowOff>
    </xdr:from>
    <xdr:to>
      <xdr:col>5</xdr:col>
      <xdr:colOff>0</xdr:colOff>
      <xdr:row>6</xdr:row>
      <xdr:rowOff>104775</xdr:rowOff>
    </xdr:to>
    <xdr:pic>
      <xdr:nvPicPr>
        <xdr:cNvPr id="185555" name="Grafik 6">
          <a:extLst>
            <a:ext uri="{FF2B5EF4-FFF2-40B4-BE49-F238E27FC236}">
              <a16:creationId xmlns:a16="http://schemas.microsoft.com/office/drawing/2014/main" xmlns="" id="{00000000-0008-0000-0A00-0000D3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9334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514350</xdr:colOff>
      <xdr:row>30</xdr:row>
      <xdr:rowOff>9525</xdr:rowOff>
    </xdr:from>
    <xdr:to>
      <xdr:col>18</xdr:col>
      <xdr:colOff>0</xdr:colOff>
      <xdr:row>30</xdr:row>
      <xdr:rowOff>85725</xdr:rowOff>
    </xdr:to>
    <xdr:pic>
      <xdr:nvPicPr>
        <xdr:cNvPr id="185556" name="Grafik 5">
          <a:extLst>
            <a:ext uri="{FF2B5EF4-FFF2-40B4-BE49-F238E27FC236}">
              <a16:creationId xmlns:a16="http://schemas.microsoft.com/office/drawing/2014/main" xmlns="" id="{00000000-0008-0000-0A00-0000D4D402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05450" y="65913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495300</xdr:colOff>
      <xdr:row>6</xdr:row>
      <xdr:rowOff>9525</xdr:rowOff>
    </xdr:from>
    <xdr:to>
      <xdr:col>18</xdr:col>
      <xdr:colOff>0</xdr:colOff>
      <xdr:row>6</xdr:row>
      <xdr:rowOff>104775</xdr:rowOff>
    </xdr:to>
    <xdr:pic>
      <xdr:nvPicPr>
        <xdr:cNvPr id="185557" name="Grafik 6">
          <a:extLst>
            <a:ext uri="{FF2B5EF4-FFF2-40B4-BE49-F238E27FC236}">
              <a16:creationId xmlns:a16="http://schemas.microsoft.com/office/drawing/2014/main" xmlns="" id="{00000000-0008-0000-0A00-0000D5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8572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1285875</xdr:colOff>
      <xdr:row>5</xdr:row>
      <xdr:rowOff>9525</xdr:rowOff>
    </xdr:from>
    <xdr:to>
      <xdr:col>6</xdr:col>
      <xdr:colOff>0</xdr:colOff>
      <xdr:row>5</xdr:row>
      <xdr:rowOff>114300</xdr:rowOff>
    </xdr:to>
    <xdr:pic>
      <xdr:nvPicPr>
        <xdr:cNvPr id="175960" name="Grafik 3">
          <a:extLst>
            <a:ext uri="{FF2B5EF4-FFF2-40B4-BE49-F238E27FC236}">
              <a16:creationId xmlns:a16="http://schemas.microsoft.com/office/drawing/2014/main" xmlns="" id="{00000000-0008-0000-0E00-000058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86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1285875</xdr:colOff>
      <xdr:row>7</xdr:row>
      <xdr:rowOff>9525</xdr:rowOff>
    </xdr:from>
    <xdr:to>
      <xdr:col>6</xdr:col>
      <xdr:colOff>0</xdr:colOff>
      <xdr:row>7</xdr:row>
      <xdr:rowOff>104775</xdr:rowOff>
    </xdr:to>
    <xdr:pic>
      <xdr:nvPicPr>
        <xdr:cNvPr id="175961" name="Grafik 4">
          <a:extLst>
            <a:ext uri="{FF2B5EF4-FFF2-40B4-BE49-F238E27FC236}">
              <a16:creationId xmlns:a16="http://schemas.microsoft.com/office/drawing/2014/main" xmlns="" id="{00000000-0008-0000-0E00-000059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1476375</xdr:colOff>
      <xdr:row>14</xdr:row>
      <xdr:rowOff>9525</xdr:rowOff>
    </xdr:from>
    <xdr:to>
      <xdr:col>2</xdr:col>
      <xdr:colOff>0</xdr:colOff>
      <xdr:row>14</xdr:row>
      <xdr:rowOff>114300</xdr:rowOff>
    </xdr:to>
    <xdr:pic>
      <xdr:nvPicPr>
        <xdr:cNvPr id="175962" name="Grafik 5">
          <a:extLst>
            <a:ext uri="{FF2B5EF4-FFF2-40B4-BE49-F238E27FC236}">
              <a16:creationId xmlns:a16="http://schemas.microsoft.com/office/drawing/2014/main" xmlns="" id="{00000000-0008-0000-0E00-00005A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2371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304800</xdr:colOff>
      <xdr:row>1</xdr:row>
      <xdr:rowOff>28575</xdr:rowOff>
    </xdr:from>
    <xdr:to>
      <xdr:col>6</xdr:col>
      <xdr:colOff>476250</xdr:colOff>
      <xdr:row>2</xdr:row>
      <xdr:rowOff>171450</xdr:rowOff>
    </xdr:to>
    <xdr:pic>
      <xdr:nvPicPr>
        <xdr:cNvPr id="175963" name="Grafik 1">
          <a:extLst>
            <a:ext uri="{FF2B5EF4-FFF2-40B4-BE49-F238E27FC236}">
              <a16:creationId xmlns:a16="http://schemas.microsoft.com/office/drawing/2014/main" xmlns="" id="{00000000-0008-0000-0E00-00005BA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8575" y="114300"/>
          <a:ext cx="15716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1457325</xdr:colOff>
      <xdr:row>7</xdr:row>
      <xdr:rowOff>9525</xdr:rowOff>
    </xdr:from>
    <xdr:to>
      <xdr:col>2</xdr:col>
      <xdr:colOff>0</xdr:colOff>
      <xdr:row>7</xdr:row>
      <xdr:rowOff>114300</xdr:rowOff>
    </xdr:to>
    <xdr:pic>
      <xdr:nvPicPr>
        <xdr:cNvPr id="175964" name="Grafik 3">
          <a:extLst>
            <a:ext uri="{FF2B5EF4-FFF2-40B4-BE49-F238E27FC236}">
              <a16:creationId xmlns:a16="http://schemas.microsoft.com/office/drawing/2014/main" xmlns="" id="{00000000-0008-0000-0E00-00005C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1143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04_vorsch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quelle"/>
      <sheetName val="Basisdaten"/>
      <sheetName val="HilfstabelleSD"/>
      <sheetName val="HilfstabelleB"/>
      <sheetName val="HilfstabelleB2"/>
      <sheetName val="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efreshError="1"/>
      <sheetData sheetId="1">
        <row r="2">
          <cell r="A2" t="str">
            <v>Anlage EB Version M1.1 (Auditjahr 2025 / Kennzahlenjahr 2024)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id="1" name="Tabelle1" displayName="Tabelle1" ref="A28:S49" totalsRowShown="0" headerRowDxfId="199" dataDxfId="197" headerRowBorderDxfId="198" totalsRowBorderDxfId="196">
  <autoFilter ref="A28:S49"/>
  <tableColumns count="19">
    <tableColumn id="1" name="Baden-Württemberg" dataDxfId="195" dataCellStyle="Standard_Werte"/>
    <tableColumn id="2" name="Bayern" dataDxfId="194"/>
    <tableColumn id="3" name="Berlin" dataDxfId="193"/>
    <tableColumn id="4" name="Brandenburg" dataDxfId="192"/>
    <tableColumn id="5" name="Bremen" dataDxfId="191"/>
    <tableColumn id="6" name="Hamburg" dataDxfId="190"/>
    <tableColumn id="7" name="Hessen" dataDxfId="189"/>
    <tableColumn id="8" name="Mecklenburg-Vorpommern" dataDxfId="188"/>
    <tableColumn id="9" name="Niedersachsen" dataDxfId="187"/>
    <tableColumn id="10" name="Nordrhein-Westfalen" dataDxfId="186"/>
    <tableColumn id="11" name="Rheinland-Pfalz" dataDxfId="185"/>
    <tableColumn id="12" name="Saarland" dataDxfId="184"/>
    <tableColumn id="13" name="Sachsen" dataDxfId="183"/>
    <tableColumn id="14" name="Sachsen-Anhalt" dataDxfId="182"/>
    <tableColumn id="15" name="Schleswig-Holstein" dataDxfId="181"/>
    <tableColumn id="16" name="Thüringen" dataDxfId="180"/>
    <tableColumn id="17" name="Schweiz" dataDxfId="179"/>
    <tableColumn id="18" name="Österreich" dataDxfId="178"/>
    <tableColumn id="19" name="Italien" dataDxfId="177"/>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AA388"/>
  <sheetViews>
    <sheetView topLeftCell="A45" zoomScaleNormal="100" workbookViewId="0">
      <selection activeCell="F66" sqref="F66"/>
    </sheetView>
  </sheetViews>
  <sheetFormatPr baseColWidth="10" defaultColWidth="11.42578125" defaultRowHeight="11.25" x14ac:dyDescent="0.25"/>
  <cols>
    <col min="1" max="1" width="30.5703125" style="28" customWidth="1"/>
    <col min="2" max="2" width="68.28515625" style="28" customWidth="1"/>
    <col min="3" max="3" width="77.5703125" style="28" customWidth="1"/>
    <col min="4" max="4" width="16.28515625" style="28" customWidth="1"/>
    <col min="5" max="5" width="22.42578125" style="28" customWidth="1"/>
    <col min="6" max="6" width="19.140625" style="356" customWidth="1"/>
    <col min="7" max="7" width="10.7109375" style="28" customWidth="1"/>
    <col min="8" max="8" width="12.7109375" style="28" customWidth="1"/>
    <col min="9" max="9" width="15.7109375" style="28" customWidth="1"/>
    <col min="10" max="10" width="19.42578125" style="28" customWidth="1"/>
    <col min="11" max="11" width="18.85546875" style="28" customWidth="1"/>
    <col min="12" max="12" width="20.42578125" style="28" customWidth="1"/>
    <col min="13" max="13" width="19.28515625" style="28" customWidth="1"/>
    <col min="14" max="14" width="20" style="28" customWidth="1"/>
    <col min="15" max="15" width="19.28515625" style="28" customWidth="1"/>
    <col min="16" max="27" width="40.7109375" style="28" customWidth="1"/>
    <col min="28" max="32" width="9.140625" style="28" customWidth="1"/>
    <col min="33" max="33" width="13.5703125" style="28" customWidth="1"/>
    <col min="34" max="105" width="9.140625" style="28" customWidth="1"/>
    <col min="106" max="107" width="16.5703125" style="28" customWidth="1"/>
    <col min="108" max="108" width="15.5703125" style="28" customWidth="1"/>
    <col min="109" max="109" width="19" style="28" customWidth="1"/>
    <col min="110" max="256" width="9.140625" style="28" customWidth="1"/>
    <col min="257" max="16384" width="11.42578125" style="28"/>
  </cols>
  <sheetData>
    <row r="1" spans="1:7" x14ac:dyDescent="0.2">
      <c r="A1" s="348" t="s">
        <v>309</v>
      </c>
      <c r="B1" s="131" t="s">
        <v>434</v>
      </c>
      <c r="C1" s="350"/>
      <c r="D1" s="350"/>
      <c r="E1" s="351"/>
      <c r="F1" s="351" t="str">
        <f>IF(Basisdaten!K14="---",E1,Basisdaten!K14)</f>
        <v/>
      </c>
    </row>
    <row r="2" spans="1:7" x14ac:dyDescent="0.2">
      <c r="A2" s="438" t="s">
        <v>1253</v>
      </c>
      <c r="B2" s="131" t="s">
        <v>917</v>
      </c>
      <c r="C2" s="350"/>
      <c r="D2" s="350"/>
      <c r="E2" s="28" t="s">
        <v>372</v>
      </c>
      <c r="F2" s="28"/>
    </row>
    <row r="3" spans="1:7" x14ac:dyDescent="0.2">
      <c r="A3" s="352"/>
      <c r="B3" s="131" t="s">
        <v>18</v>
      </c>
      <c r="C3" s="350"/>
      <c r="D3" s="350"/>
      <c r="E3" s="353" t="str">
        <f>Basisdaten!K14</f>
        <v/>
      </c>
      <c r="F3" s="354">
        <f>IF(E3&gt;E4,0,DATEDIF(E3,E4,"y"))</f>
        <v>0</v>
      </c>
    </row>
    <row r="4" spans="1:7" x14ac:dyDescent="0.2">
      <c r="A4" s="352"/>
      <c r="B4" s="131" t="s">
        <v>310</v>
      </c>
      <c r="C4" s="350"/>
      <c r="D4" s="350"/>
      <c r="E4" s="405">
        <v>46022</v>
      </c>
      <c r="F4" s="354"/>
      <c r="G4" s="355"/>
    </row>
    <row r="5" spans="1:7" x14ac:dyDescent="0.2">
      <c r="A5" s="352"/>
      <c r="B5" s="131" t="s">
        <v>307</v>
      </c>
      <c r="C5" s="350"/>
      <c r="D5" s="493"/>
      <c r="E5" s="352"/>
    </row>
    <row r="6" spans="1:7" x14ac:dyDescent="0.2">
      <c r="A6" s="352"/>
      <c r="B6" s="131" t="s">
        <v>311</v>
      </c>
      <c r="C6" s="350"/>
      <c r="D6" s="350"/>
      <c r="E6" s="352"/>
    </row>
    <row r="7" spans="1:7" x14ac:dyDescent="0.2">
      <c r="A7" s="352"/>
      <c r="B7" s="131" t="s">
        <v>697</v>
      </c>
      <c r="C7" s="350"/>
      <c r="D7" s="350"/>
      <c r="E7" s="352"/>
    </row>
    <row r="8" spans="1:7" x14ac:dyDescent="0.2">
      <c r="A8" s="352"/>
      <c r="B8" s="131" t="s">
        <v>435</v>
      </c>
      <c r="C8" s="350"/>
      <c r="D8" s="350"/>
      <c r="E8" s="352"/>
    </row>
    <row r="9" spans="1:7" x14ac:dyDescent="0.2">
      <c r="A9" s="352"/>
      <c r="B9" s="131" t="s">
        <v>691</v>
      </c>
      <c r="C9" s="350"/>
      <c r="D9" s="350"/>
      <c r="E9" s="352"/>
    </row>
    <row r="10" spans="1:7" x14ac:dyDescent="0.2">
      <c r="A10" s="352"/>
      <c r="B10" s="131" t="s">
        <v>875</v>
      </c>
      <c r="C10" s="350"/>
      <c r="D10" s="350"/>
      <c r="E10" s="352"/>
    </row>
    <row r="11" spans="1:7" x14ac:dyDescent="0.2">
      <c r="A11" s="352"/>
      <c r="B11" s="131" t="s">
        <v>918</v>
      </c>
      <c r="C11" s="350"/>
      <c r="D11" s="350"/>
      <c r="E11" s="352"/>
    </row>
    <row r="12" spans="1:7" x14ac:dyDescent="0.2">
      <c r="A12" s="352"/>
      <c r="B12" s="131" t="s">
        <v>1324</v>
      </c>
      <c r="C12" s="350"/>
      <c r="D12" s="350"/>
      <c r="E12" s="352"/>
    </row>
    <row r="13" spans="1:7" x14ac:dyDescent="0.2">
      <c r="A13" s="352"/>
      <c r="B13" s="131" t="s">
        <v>692</v>
      </c>
      <c r="C13" s="350"/>
      <c r="E13" s="352"/>
    </row>
    <row r="14" spans="1:7" x14ac:dyDescent="0.2">
      <c r="A14" s="352"/>
      <c r="B14" s="131" t="s">
        <v>436</v>
      </c>
      <c r="C14" s="350"/>
      <c r="D14" s="350"/>
      <c r="E14" s="352"/>
    </row>
    <row r="15" spans="1:7" x14ac:dyDescent="0.2">
      <c r="A15" s="352"/>
      <c r="B15" s="131" t="s">
        <v>693</v>
      </c>
      <c r="C15" s="350"/>
      <c r="D15" s="350"/>
      <c r="E15" s="352"/>
    </row>
    <row r="16" spans="1:7" x14ac:dyDescent="0.2">
      <c r="A16" s="352"/>
      <c r="B16" s="131" t="s">
        <v>694</v>
      </c>
      <c r="C16" s="350"/>
      <c r="D16" s="350"/>
      <c r="E16" s="352"/>
    </row>
    <row r="17" spans="1:27" x14ac:dyDescent="0.2">
      <c r="A17" s="352"/>
      <c r="B17" s="131" t="s">
        <v>47</v>
      </c>
      <c r="C17" s="350"/>
      <c r="D17" s="350"/>
      <c r="E17" s="352"/>
    </row>
    <row r="18" spans="1:27" x14ac:dyDescent="0.2">
      <c r="A18" s="352"/>
      <c r="B18" s="131" t="s">
        <v>695</v>
      </c>
      <c r="C18" s="350"/>
      <c r="D18" s="350"/>
      <c r="E18" s="352"/>
    </row>
    <row r="19" spans="1:27" x14ac:dyDescent="0.2">
      <c r="A19" s="119"/>
      <c r="B19" s="131" t="s">
        <v>19</v>
      </c>
      <c r="C19" s="350"/>
      <c r="D19" s="350"/>
      <c r="E19" s="352"/>
    </row>
    <row r="20" spans="1:27" x14ac:dyDescent="0.2">
      <c r="A20" s="119"/>
      <c r="B20" s="131" t="s">
        <v>696</v>
      </c>
      <c r="C20" s="350"/>
      <c r="D20" s="350"/>
      <c r="E20" s="352"/>
    </row>
    <row r="21" spans="1:27" x14ac:dyDescent="0.2">
      <c r="A21" s="352"/>
      <c r="B21" s="131" t="s">
        <v>744</v>
      </c>
      <c r="C21" s="350"/>
      <c r="D21" s="350"/>
      <c r="E21" s="352"/>
    </row>
    <row r="22" spans="1:27" x14ac:dyDescent="0.2">
      <c r="A22" s="352"/>
      <c r="B22" s="131" t="s">
        <v>615</v>
      </c>
      <c r="C22" s="350"/>
      <c r="D22" s="350"/>
    </row>
    <row r="23" spans="1:27" x14ac:dyDescent="0.2">
      <c r="A23" s="352"/>
      <c r="B23" s="121" t="s">
        <v>614</v>
      </c>
      <c r="C23" s="350"/>
      <c r="D23" s="350"/>
    </row>
    <row r="24" spans="1:27" x14ac:dyDescent="0.2">
      <c r="A24" s="119"/>
      <c r="C24" s="350"/>
      <c r="D24" s="350"/>
    </row>
    <row r="25" spans="1:27" x14ac:dyDescent="0.2">
      <c r="A25" s="119"/>
      <c r="C25" s="350"/>
      <c r="D25" s="350"/>
    </row>
    <row r="26" spans="1:27" x14ac:dyDescent="0.25">
      <c r="A26" s="119"/>
      <c r="C26" s="119"/>
      <c r="D26" s="358"/>
    </row>
    <row r="27" spans="1:27" x14ac:dyDescent="0.25">
      <c r="A27" s="119"/>
      <c r="D27" s="358"/>
      <c r="H27" s="359"/>
      <c r="I27" s="359"/>
      <c r="J27" s="359"/>
      <c r="K27" s="359"/>
      <c r="L27" s="359"/>
      <c r="M27" s="359"/>
      <c r="N27" s="359"/>
      <c r="O27" s="359"/>
      <c r="P27" s="359"/>
      <c r="Q27" s="359"/>
      <c r="R27" s="359"/>
      <c r="S27" s="359"/>
      <c r="T27" s="359"/>
      <c r="U27" s="359"/>
      <c r="V27" s="359"/>
      <c r="W27" s="359"/>
      <c r="X27" s="359"/>
      <c r="Y27" s="359"/>
      <c r="Z27" s="359"/>
      <c r="AA27" s="359"/>
    </row>
    <row r="28" spans="1:27" x14ac:dyDescent="0.25">
      <c r="A28" s="360" t="s">
        <v>355</v>
      </c>
      <c r="B28" s="177" t="s">
        <v>356</v>
      </c>
      <c r="C28" s="177" t="s">
        <v>357</v>
      </c>
      <c r="D28" s="361" t="s">
        <v>358</v>
      </c>
      <c r="E28" s="177" t="s">
        <v>359</v>
      </c>
      <c r="F28" s="362" t="s">
        <v>360</v>
      </c>
      <c r="G28" s="178" t="s">
        <v>361</v>
      </c>
      <c r="H28" s="177" t="s">
        <v>362</v>
      </c>
      <c r="I28" s="177" t="s">
        <v>363</v>
      </c>
      <c r="J28" s="178" t="s">
        <v>364</v>
      </c>
      <c r="K28" s="178" t="s">
        <v>365</v>
      </c>
      <c r="L28" s="177" t="s">
        <v>366</v>
      </c>
      <c r="M28" s="177" t="s">
        <v>367</v>
      </c>
      <c r="N28" s="177" t="s">
        <v>368</v>
      </c>
      <c r="O28" s="177" t="s">
        <v>369</v>
      </c>
      <c r="P28" s="177" t="s">
        <v>306</v>
      </c>
      <c r="Q28" s="177" t="s">
        <v>370</v>
      </c>
      <c r="R28" s="177" t="s">
        <v>154</v>
      </c>
      <c r="S28" s="363" t="s">
        <v>418</v>
      </c>
      <c r="T28" s="119"/>
      <c r="U28" s="119"/>
      <c r="V28" s="119"/>
      <c r="W28" s="119"/>
      <c r="X28" s="119"/>
      <c r="Y28" s="119"/>
      <c r="Z28" s="119"/>
      <c r="AA28" s="119"/>
    </row>
    <row r="29" spans="1:27" x14ac:dyDescent="0.25">
      <c r="A29" s="364" t="s">
        <v>312</v>
      </c>
      <c r="B29" s="131" t="s">
        <v>389</v>
      </c>
      <c r="C29" s="131" t="s">
        <v>391</v>
      </c>
      <c r="D29" s="365" t="s">
        <v>396</v>
      </c>
      <c r="E29" s="131" t="s">
        <v>398</v>
      </c>
      <c r="F29" s="366" t="s">
        <v>399</v>
      </c>
      <c r="G29" s="121" t="s">
        <v>400</v>
      </c>
      <c r="H29" s="131" t="s">
        <v>402</v>
      </c>
      <c r="I29" s="131" t="s">
        <v>404</v>
      </c>
      <c r="J29" s="121" t="s">
        <v>406</v>
      </c>
      <c r="K29" s="121" t="s">
        <v>410</v>
      </c>
      <c r="L29" s="131" t="s">
        <v>411</v>
      </c>
      <c r="M29" s="131" t="s">
        <v>412</v>
      </c>
      <c r="N29" s="131" t="s">
        <v>332</v>
      </c>
      <c r="O29" s="131" t="s">
        <v>415</v>
      </c>
      <c r="P29" s="131" t="s">
        <v>417</v>
      </c>
      <c r="Q29" s="178" t="s">
        <v>708</v>
      </c>
      <c r="R29" s="131" t="s">
        <v>709</v>
      </c>
      <c r="S29" s="367" t="s">
        <v>735</v>
      </c>
      <c r="T29" s="119"/>
      <c r="U29" s="119"/>
      <c r="V29" s="119"/>
      <c r="W29" s="119"/>
      <c r="X29" s="119"/>
      <c r="Z29" s="119"/>
    </row>
    <row r="30" spans="1:27" x14ac:dyDescent="0.25">
      <c r="A30" s="364" t="s">
        <v>314</v>
      </c>
      <c r="B30" s="131" t="s">
        <v>333</v>
      </c>
      <c r="C30" s="131" t="s">
        <v>396</v>
      </c>
      <c r="D30" s="365" t="s">
        <v>397</v>
      </c>
      <c r="E30" s="131" t="s">
        <v>613</v>
      </c>
      <c r="F30" s="366" t="s">
        <v>613</v>
      </c>
      <c r="G30" s="121" t="s">
        <v>401</v>
      </c>
      <c r="H30" s="131" t="s">
        <v>350</v>
      </c>
      <c r="I30" s="131" t="s">
        <v>316</v>
      </c>
      <c r="J30" s="121" t="s">
        <v>313</v>
      </c>
      <c r="K30" s="121" t="s">
        <v>343</v>
      </c>
      <c r="L30" s="131" t="s">
        <v>339</v>
      </c>
      <c r="M30" s="131" t="s">
        <v>413</v>
      </c>
      <c r="N30" s="131" t="s">
        <v>337</v>
      </c>
      <c r="O30" s="131" t="s">
        <v>416</v>
      </c>
      <c r="P30" s="131" t="s">
        <v>308</v>
      </c>
      <c r="Q30" s="131" t="s">
        <v>615</v>
      </c>
      <c r="R30" s="131" t="s">
        <v>615</v>
      </c>
      <c r="S30" s="349" t="s">
        <v>615</v>
      </c>
      <c r="T30" s="119"/>
      <c r="U30" s="119"/>
      <c r="V30" s="119"/>
      <c r="W30" s="119"/>
      <c r="X30" s="119"/>
    </row>
    <row r="31" spans="1:27" x14ac:dyDescent="0.25">
      <c r="A31" s="364" t="s">
        <v>315</v>
      </c>
      <c r="B31" s="131" t="s">
        <v>334</v>
      </c>
      <c r="C31" s="131" t="s">
        <v>392</v>
      </c>
      <c r="D31" s="365" t="s">
        <v>386</v>
      </c>
      <c r="E31" s="131" t="s">
        <v>615</v>
      </c>
      <c r="F31" s="366" t="s">
        <v>615</v>
      </c>
      <c r="G31" s="121" t="s">
        <v>331</v>
      </c>
      <c r="H31" s="121" t="s">
        <v>351</v>
      </c>
      <c r="I31" s="131" t="s">
        <v>405</v>
      </c>
      <c r="J31" s="121" t="s">
        <v>407</v>
      </c>
      <c r="K31" s="121" t="s">
        <v>349</v>
      </c>
      <c r="L31" s="131" t="s">
        <v>613</v>
      </c>
      <c r="M31" s="131" t="s">
        <v>344</v>
      </c>
      <c r="N31" s="131" t="s">
        <v>345</v>
      </c>
      <c r="O31" s="131" t="s">
        <v>342</v>
      </c>
      <c r="P31" s="131" t="s">
        <v>335</v>
      </c>
      <c r="Q31" s="131"/>
      <c r="R31" s="131"/>
      <c r="S31" s="349"/>
      <c r="T31" s="119"/>
      <c r="U31" s="119"/>
      <c r="V31" s="119"/>
      <c r="W31" s="119"/>
      <c r="X31" s="119"/>
    </row>
    <row r="32" spans="1:27" x14ac:dyDescent="0.25">
      <c r="A32" s="364" t="s">
        <v>387</v>
      </c>
      <c r="B32" s="131" t="s">
        <v>347</v>
      </c>
      <c r="C32" s="131" t="s">
        <v>393</v>
      </c>
      <c r="D32" s="365" t="s">
        <v>613</v>
      </c>
      <c r="E32" s="131" t="s">
        <v>614</v>
      </c>
      <c r="F32" s="366" t="s">
        <v>614</v>
      </c>
      <c r="G32" s="121" t="s">
        <v>341</v>
      </c>
      <c r="H32" s="121" t="s">
        <v>403</v>
      </c>
      <c r="I32" s="131" t="s">
        <v>336</v>
      </c>
      <c r="J32" s="121" t="s">
        <v>408</v>
      </c>
      <c r="K32" s="121" t="s">
        <v>613</v>
      </c>
      <c r="L32" s="131" t="s">
        <v>615</v>
      </c>
      <c r="M32" s="121" t="s">
        <v>21</v>
      </c>
      <c r="N32" s="121" t="s">
        <v>386</v>
      </c>
      <c r="O32" s="131" t="s">
        <v>613</v>
      </c>
      <c r="P32" s="131" t="s">
        <v>340</v>
      </c>
      <c r="Q32" s="131"/>
      <c r="R32" s="131"/>
      <c r="S32" s="349"/>
      <c r="T32" s="119"/>
      <c r="U32" s="119"/>
      <c r="V32" s="119"/>
      <c r="W32" s="119"/>
      <c r="X32" s="119"/>
    </row>
    <row r="33" spans="1:24" x14ac:dyDescent="0.25">
      <c r="A33" s="364" t="s">
        <v>388</v>
      </c>
      <c r="B33" s="131" t="s">
        <v>390</v>
      </c>
      <c r="C33" s="131" t="s">
        <v>394</v>
      </c>
      <c r="D33" s="365" t="s">
        <v>615</v>
      </c>
      <c r="E33" s="131"/>
      <c r="F33" s="366"/>
      <c r="G33" s="121" t="s">
        <v>346</v>
      </c>
      <c r="H33" s="121" t="s">
        <v>386</v>
      </c>
      <c r="I33" s="131" t="s">
        <v>338</v>
      </c>
      <c r="J33" s="121" t="s">
        <v>409</v>
      </c>
      <c r="K33" s="121" t="s">
        <v>615</v>
      </c>
      <c r="L33" s="131" t="s">
        <v>614</v>
      </c>
      <c r="M33" s="121" t="s">
        <v>414</v>
      </c>
      <c r="N33" s="121" t="s">
        <v>613</v>
      </c>
      <c r="O33" s="131" t="s">
        <v>615</v>
      </c>
      <c r="P33" s="131" t="s">
        <v>353</v>
      </c>
      <c r="Q33" s="131"/>
      <c r="R33" s="131"/>
      <c r="S33" s="349"/>
      <c r="U33" s="119"/>
      <c r="V33" s="119"/>
      <c r="W33" s="119"/>
      <c r="X33" s="119"/>
    </row>
    <row r="34" spans="1:24" x14ac:dyDescent="0.25">
      <c r="A34" s="364" t="s">
        <v>317</v>
      </c>
      <c r="B34" s="131" t="s">
        <v>348</v>
      </c>
      <c r="C34" s="131" t="s">
        <v>395</v>
      </c>
      <c r="D34" s="365" t="s">
        <v>614</v>
      </c>
      <c r="E34" s="131"/>
      <c r="F34" s="366"/>
      <c r="G34" s="121" t="s">
        <v>613</v>
      </c>
      <c r="H34" s="121" t="s">
        <v>613</v>
      </c>
      <c r="I34" s="131" t="s">
        <v>20</v>
      </c>
      <c r="J34" s="121" t="s">
        <v>322</v>
      </c>
      <c r="K34" s="131" t="s">
        <v>614</v>
      </c>
      <c r="L34" s="121"/>
      <c r="M34" s="121" t="s">
        <v>386</v>
      </c>
      <c r="N34" s="121" t="s">
        <v>615</v>
      </c>
      <c r="O34" s="131" t="s">
        <v>614</v>
      </c>
      <c r="P34" s="131" t="s">
        <v>352</v>
      </c>
      <c r="Q34" s="131"/>
      <c r="R34" s="131"/>
      <c r="S34" s="357"/>
      <c r="U34" s="119"/>
      <c r="V34" s="119"/>
      <c r="X34" s="119"/>
    </row>
    <row r="35" spans="1:24" x14ac:dyDescent="0.25">
      <c r="A35" s="364" t="s">
        <v>318</v>
      </c>
      <c r="B35" s="131" t="s">
        <v>354</v>
      </c>
      <c r="C35" s="131" t="s">
        <v>386</v>
      </c>
      <c r="D35" s="365"/>
      <c r="E35" s="131"/>
      <c r="F35" s="366"/>
      <c r="G35" s="121" t="s">
        <v>615</v>
      </c>
      <c r="H35" s="121" t="s">
        <v>615</v>
      </c>
      <c r="I35" s="131" t="s">
        <v>613</v>
      </c>
      <c r="J35" s="131" t="s">
        <v>613</v>
      </c>
      <c r="K35" s="131"/>
      <c r="L35" s="121"/>
      <c r="M35" s="121" t="s">
        <v>613</v>
      </c>
      <c r="N35" s="121" t="s">
        <v>614</v>
      </c>
      <c r="O35" s="131"/>
      <c r="P35" s="131" t="s">
        <v>386</v>
      </c>
      <c r="Q35" s="131"/>
      <c r="R35" s="131"/>
      <c r="S35" s="357"/>
      <c r="U35" s="119"/>
      <c r="V35" s="119"/>
      <c r="X35" s="119"/>
    </row>
    <row r="36" spans="1:24" x14ac:dyDescent="0.25">
      <c r="A36" s="364" t="s">
        <v>319</v>
      </c>
      <c r="B36" s="131" t="s">
        <v>613</v>
      </c>
      <c r="C36" s="131" t="s">
        <v>613</v>
      </c>
      <c r="D36" s="365"/>
      <c r="E36" s="131"/>
      <c r="F36" s="366"/>
      <c r="G36" s="121" t="s">
        <v>614</v>
      </c>
      <c r="H36" s="121" t="s">
        <v>614</v>
      </c>
      <c r="I36" s="131" t="s">
        <v>615</v>
      </c>
      <c r="J36" s="131" t="s">
        <v>615</v>
      </c>
      <c r="K36" s="131"/>
      <c r="L36" s="121"/>
      <c r="M36" s="121" t="s">
        <v>615</v>
      </c>
      <c r="N36" s="121"/>
      <c r="O36" s="121"/>
      <c r="P36" s="121" t="s">
        <v>613</v>
      </c>
      <c r="Q36" s="131"/>
      <c r="R36" s="131"/>
      <c r="S36" s="357"/>
      <c r="U36" s="119"/>
      <c r="W36" s="119"/>
      <c r="X36" s="119"/>
    </row>
    <row r="37" spans="1:24" x14ac:dyDescent="0.25">
      <c r="A37" s="364" t="s">
        <v>320</v>
      </c>
      <c r="B37" s="131" t="s">
        <v>615</v>
      </c>
      <c r="C37" s="131" t="s">
        <v>615</v>
      </c>
      <c r="D37" s="365"/>
      <c r="E37" s="131"/>
      <c r="F37" s="366"/>
      <c r="G37" s="121"/>
      <c r="H37" s="121"/>
      <c r="I37" s="131" t="s">
        <v>614</v>
      </c>
      <c r="J37" s="131" t="s">
        <v>614</v>
      </c>
      <c r="K37" s="131"/>
      <c r="L37" s="121"/>
      <c r="M37" s="121" t="s">
        <v>614</v>
      </c>
      <c r="N37" s="121"/>
      <c r="O37" s="121"/>
      <c r="P37" s="121" t="s">
        <v>615</v>
      </c>
      <c r="Q37" s="121"/>
      <c r="R37" s="121"/>
      <c r="S37" s="357"/>
    </row>
    <row r="38" spans="1:24" x14ac:dyDescent="0.25">
      <c r="A38" s="364" t="s">
        <v>321</v>
      </c>
      <c r="B38" s="131" t="s">
        <v>614</v>
      </c>
      <c r="C38" s="131" t="s">
        <v>614</v>
      </c>
      <c r="D38" s="365"/>
      <c r="E38" s="131"/>
      <c r="F38" s="366"/>
      <c r="G38" s="121"/>
      <c r="H38" s="121"/>
      <c r="I38" s="131"/>
      <c r="J38" s="121"/>
      <c r="K38" s="121"/>
      <c r="L38" s="121"/>
      <c r="M38" s="121"/>
      <c r="N38" s="121"/>
      <c r="O38" s="121"/>
      <c r="P38" s="121" t="s">
        <v>614</v>
      </c>
      <c r="Q38" s="121"/>
      <c r="R38" s="121"/>
      <c r="S38" s="357"/>
    </row>
    <row r="39" spans="1:24" x14ac:dyDescent="0.25">
      <c r="A39" s="364" t="s">
        <v>323</v>
      </c>
      <c r="B39" s="131"/>
      <c r="C39" s="131"/>
      <c r="D39" s="365"/>
      <c r="E39" s="131"/>
      <c r="F39" s="366"/>
      <c r="G39" s="121"/>
      <c r="H39" s="121"/>
      <c r="I39" s="131"/>
      <c r="J39" s="121"/>
      <c r="K39" s="121"/>
      <c r="L39" s="121"/>
      <c r="M39" s="121"/>
      <c r="N39" s="121"/>
      <c r="O39" s="121"/>
      <c r="P39" s="121"/>
      <c r="Q39" s="121"/>
      <c r="R39" s="121"/>
      <c r="S39" s="357"/>
    </row>
    <row r="40" spans="1:24" x14ac:dyDescent="0.25">
      <c r="A40" s="364" t="s">
        <v>324</v>
      </c>
      <c r="B40" s="131"/>
      <c r="C40" s="131"/>
      <c r="D40" s="365"/>
      <c r="E40" s="131"/>
      <c r="F40" s="366"/>
      <c r="G40" s="121"/>
      <c r="H40" s="121"/>
      <c r="I40" s="131"/>
      <c r="J40" s="121"/>
      <c r="K40" s="121"/>
      <c r="L40" s="121"/>
      <c r="M40" s="121"/>
      <c r="N40" s="121"/>
      <c r="O40" s="121"/>
      <c r="P40" s="121"/>
      <c r="Q40" s="121"/>
      <c r="R40" s="121"/>
      <c r="S40" s="357"/>
    </row>
    <row r="41" spans="1:24" x14ac:dyDescent="0.25">
      <c r="A41" s="364" t="s">
        <v>325</v>
      </c>
      <c r="B41" s="131"/>
      <c r="C41" s="131"/>
      <c r="D41" s="365"/>
      <c r="E41" s="131"/>
      <c r="F41" s="366"/>
      <c r="G41" s="121"/>
      <c r="H41" s="131"/>
      <c r="I41" s="131"/>
      <c r="J41" s="121"/>
      <c r="K41" s="121"/>
      <c r="L41" s="121"/>
      <c r="M41" s="121"/>
      <c r="N41" s="121"/>
      <c r="O41" s="121"/>
      <c r="P41" s="121"/>
      <c r="Q41" s="121"/>
      <c r="R41" s="121"/>
      <c r="S41" s="357"/>
    </row>
    <row r="42" spans="1:24" x14ac:dyDescent="0.25">
      <c r="A42" s="364" t="s">
        <v>326</v>
      </c>
      <c r="B42" s="131"/>
      <c r="C42" s="131"/>
      <c r="D42" s="365"/>
      <c r="E42" s="131"/>
      <c r="F42" s="366"/>
      <c r="G42" s="121"/>
      <c r="H42" s="121"/>
      <c r="I42" s="131"/>
      <c r="J42" s="121"/>
      <c r="K42" s="121"/>
      <c r="L42" s="121"/>
      <c r="M42" s="121"/>
      <c r="N42" s="121"/>
      <c r="O42" s="121"/>
      <c r="P42" s="121"/>
      <c r="Q42" s="121"/>
      <c r="R42" s="121"/>
      <c r="S42" s="357"/>
    </row>
    <row r="43" spans="1:24" x14ac:dyDescent="0.25">
      <c r="A43" s="364" t="s">
        <v>327</v>
      </c>
      <c r="B43" s="131"/>
      <c r="C43" s="131"/>
      <c r="D43" s="365"/>
      <c r="E43" s="131"/>
      <c r="F43" s="366"/>
      <c r="G43" s="121"/>
      <c r="H43" s="121"/>
      <c r="I43" s="131"/>
      <c r="J43" s="121"/>
      <c r="K43" s="121"/>
      <c r="L43" s="121"/>
      <c r="M43" s="121"/>
      <c r="N43" s="121"/>
      <c r="O43" s="121"/>
      <c r="P43" s="121"/>
      <c r="Q43" s="121"/>
      <c r="R43" s="121"/>
      <c r="S43" s="357"/>
    </row>
    <row r="44" spans="1:24" x14ac:dyDescent="0.25">
      <c r="A44" s="364" t="s">
        <v>328</v>
      </c>
      <c r="B44" s="131"/>
      <c r="C44" s="131"/>
      <c r="D44" s="365"/>
      <c r="E44" s="131"/>
      <c r="F44" s="366"/>
      <c r="G44" s="121"/>
      <c r="H44" s="121"/>
      <c r="I44" s="131"/>
      <c r="J44" s="121"/>
      <c r="K44" s="121"/>
      <c r="L44" s="121"/>
      <c r="M44" s="121"/>
      <c r="N44" s="121"/>
      <c r="O44" s="121"/>
      <c r="P44" s="121"/>
      <c r="Q44" s="121"/>
      <c r="R44" s="121"/>
      <c r="S44" s="357"/>
    </row>
    <row r="45" spans="1:24" x14ac:dyDescent="0.25">
      <c r="A45" s="364" t="s">
        <v>329</v>
      </c>
      <c r="B45" s="131"/>
      <c r="C45" s="131"/>
      <c r="D45" s="365"/>
      <c r="E45" s="131"/>
      <c r="F45" s="366"/>
      <c r="G45" s="121"/>
      <c r="H45" s="121"/>
      <c r="I45" s="131"/>
      <c r="J45" s="121"/>
      <c r="K45" s="121"/>
      <c r="L45" s="121"/>
      <c r="M45" s="121"/>
      <c r="N45" s="121"/>
      <c r="O45" s="121"/>
      <c r="P45" s="121"/>
      <c r="Q45" s="121"/>
      <c r="R45" s="121"/>
      <c r="S45" s="357"/>
    </row>
    <row r="46" spans="1:24" x14ac:dyDescent="0.25">
      <c r="A46" s="364" t="s">
        <v>330</v>
      </c>
      <c r="B46" s="131"/>
      <c r="C46" s="131"/>
      <c r="D46" s="365"/>
      <c r="E46" s="131"/>
      <c r="F46" s="366"/>
      <c r="G46" s="121"/>
      <c r="H46" s="121"/>
      <c r="I46" s="131"/>
      <c r="J46" s="121"/>
      <c r="K46" s="121"/>
      <c r="L46" s="121"/>
      <c r="M46" s="121"/>
      <c r="N46" s="121"/>
      <c r="O46" s="121"/>
      <c r="P46" s="121"/>
      <c r="Q46" s="121"/>
      <c r="R46" s="121"/>
      <c r="S46" s="357"/>
    </row>
    <row r="47" spans="1:24" x14ac:dyDescent="0.25">
      <c r="A47" s="364" t="s">
        <v>613</v>
      </c>
      <c r="B47" s="131"/>
      <c r="C47" s="131"/>
      <c r="D47" s="365"/>
      <c r="E47" s="131"/>
      <c r="F47" s="366"/>
      <c r="G47" s="121"/>
      <c r="H47" s="121"/>
      <c r="I47" s="131"/>
      <c r="J47" s="121"/>
      <c r="K47" s="121"/>
      <c r="L47" s="121"/>
      <c r="M47" s="121"/>
      <c r="N47" s="121"/>
      <c r="O47" s="121"/>
      <c r="P47" s="121"/>
      <c r="Q47" s="121"/>
      <c r="R47" s="121"/>
      <c r="S47" s="357"/>
    </row>
    <row r="48" spans="1:24" x14ac:dyDescent="0.25">
      <c r="A48" s="364" t="s">
        <v>615</v>
      </c>
      <c r="B48" s="131"/>
      <c r="C48" s="131"/>
      <c r="D48" s="365"/>
      <c r="E48" s="131"/>
      <c r="F48" s="366"/>
      <c r="G48" s="121"/>
      <c r="H48" s="121"/>
      <c r="I48" s="131"/>
      <c r="J48" s="121"/>
      <c r="K48" s="121"/>
      <c r="L48" s="121"/>
      <c r="M48" s="121"/>
      <c r="N48" s="121"/>
      <c r="O48" s="121"/>
      <c r="P48" s="121"/>
      <c r="Q48" s="121"/>
      <c r="R48" s="121"/>
      <c r="S48" s="357"/>
    </row>
    <row r="49" spans="1:19" x14ac:dyDescent="0.25">
      <c r="A49" s="368" t="s">
        <v>614</v>
      </c>
      <c r="B49" s="369"/>
      <c r="C49" s="369"/>
      <c r="D49" s="370"/>
      <c r="E49" s="369"/>
      <c r="F49" s="371"/>
      <c r="G49" s="372"/>
      <c r="H49" s="372"/>
      <c r="I49" s="372"/>
      <c r="J49" s="372"/>
      <c r="K49" s="372"/>
      <c r="L49" s="372"/>
      <c r="M49" s="372"/>
      <c r="N49" s="372"/>
      <c r="O49" s="372"/>
      <c r="P49" s="372"/>
      <c r="Q49" s="372"/>
      <c r="R49" s="372"/>
      <c r="S49" s="373"/>
    </row>
    <row r="50" spans="1:19" x14ac:dyDescent="0.25">
      <c r="A50" s="352"/>
      <c r="B50" s="119"/>
      <c r="C50" s="119"/>
      <c r="D50" s="358"/>
      <c r="E50" s="119"/>
      <c r="F50" s="374"/>
      <c r="I50" s="119"/>
    </row>
    <row r="51" spans="1:19" x14ac:dyDescent="0.25">
      <c r="A51" s="352"/>
      <c r="B51" s="119" t="str">
        <f>IF(H50="","",IF(CHOOSE(Datenquelle!$H$27,Datenquelle!I51:I62,Datenquelle!J51:J55,Datenquelle!K51:K55,Datenquelle!L51:L54,Datenquelle!M51:M54,Datenquelle!N51:N54,Datenquelle!O51:O54,Datenquelle!P51:P54,Datenquelle!Q51:Q54,Datenquelle!R51:R55,Datenquelle!S51:S54,Datenquelle!T51:T54,Datenquelle!U51:U54,Datenquelle!V51:V54,Datenquelle!W51:W54,Datenquelle!X51:X54,Datenquelle!Y51:Y53,Datenquelle!Z51:Z53,Datenquelle!AA51:AA53)=0,"",CHOOSE(Datenquelle!$H$27,Datenquelle!I51:I62,Datenquelle!J51:J55,Datenquelle!K51:K55,Datenquelle!L51:L54,Datenquelle!M51:M54,Datenquelle!N51:N54,Datenquelle!O51:O54,Datenquelle!P51:P54,Datenquelle!Q51:Q54,Datenquelle!R51:R55,Datenquelle!S51:S54,Datenquelle!T51:T54,Datenquelle!U51:U54,Datenquelle!V51:V54,Datenquelle!W51:W54,Datenquelle!X51:X54,Datenquelle!Y51:Y53,Datenquelle!Z51:Z53,Datenquelle!AA51:AA53)))</f>
        <v/>
      </c>
      <c r="C51" s="119"/>
      <c r="D51" s="358"/>
      <c r="E51" s="119"/>
      <c r="F51" s="374"/>
      <c r="I51" s="119"/>
    </row>
    <row r="52" spans="1:19" x14ac:dyDescent="0.25">
      <c r="A52" s="348" t="s">
        <v>43</v>
      </c>
      <c r="B52" s="131" t="s">
        <v>419</v>
      </c>
      <c r="C52" s="119"/>
      <c r="D52" s="358"/>
      <c r="E52" s="119"/>
      <c r="F52" s="374"/>
    </row>
    <row r="53" spans="1:19" x14ac:dyDescent="0.25">
      <c r="A53" s="352"/>
      <c r="B53" s="131" t="s">
        <v>420</v>
      </c>
      <c r="C53" s="119"/>
      <c r="D53" s="358"/>
      <c r="E53" s="119"/>
      <c r="F53" s="374"/>
    </row>
    <row r="54" spans="1:19" x14ac:dyDescent="0.25">
      <c r="A54" s="352"/>
      <c r="B54" s="119"/>
      <c r="C54" s="119"/>
      <c r="D54" s="358"/>
      <c r="E54" s="119"/>
      <c r="F54" s="374"/>
    </row>
    <row r="55" spans="1:19" x14ac:dyDescent="0.25">
      <c r="A55" s="352"/>
      <c r="D55" s="358"/>
    </row>
    <row r="56" spans="1:19" x14ac:dyDescent="0.25">
      <c r="B56" s="375"/>
      <c r="D56" s="358"/>
    </row>
    <row r="57" spans="1:19" x14ac:dyDescent="0.25">
      <c r="A57" s="376" t="s">
        <v>385</v>
      </c>
      <c r="B57" s="377" t="s">
        <v>1185</v>
      </c>
      <c r="D57" s="358"/>
    </row>
    <row r="58" spans="1:19" x14ac:dyDescent="0.25">
      <c r="B58" s="121" t="s">
        <v>1186</v>
      </c>
      <c r="D58" s="358"/>
    </row>
    <row r="59" spans="1:19" x14ac:dyDescent="0.25">
      <c r="B59" s="377" t="s">
        <v>1187</v>
      </c>
      <c r="D59" s="358"/>
    </row>
    <row r="60" spans="1:19" x14ac:dyDescent="0.25">
      <c r="B60" s="377" t="s">
        <v>1188</v>
      </c>
      <c r="D60" s="358"/>
    </row>
    <row r="61" spans="1:19" x14ac:dyDescent="0.25">
      <c r="B61" s="377" t="s">
        <v>1189</v>
      </c>
      <c r="D61" s="358"/>
    </row>
    <row r="62" spans="1:19" x14ac:dyDescent="0.25">
      <c r="B62" s="377" t="s">
        <v>1128</v>
      </c>
      <c r="D62" s="358"/>
    </row>
    <row r="63" spans="1:19" x14ac:dyDescent="0.25">
      <c r="D63" s="358"/>
    </row>
    <row r="64" spans="1:19" x14ac:dyDescent="0.25">
      <c r="D64" s="358"/>
      <c r="E64" s="439" t="s">
        <v>1646</v>
      </c>
    </row>
    <row r="65" spans="1:15" x14ac:dyDescent="0.25">
      <c r="A65" s="122" t="s">
        <v>304</v>
      </c>
      <c r="B65" s="122" t="s">
        <v>504</v>
      </c>
      <c r="C65" s="122" t="s">
        <v>513</v>
      </c>
      <c r="D65" s="122" t="s">
        <v>514</v>
      </c>
      <c r="E65" s="122" t="s">
        <v>305</v>
      </c>
      <c r="F65" s="378" t="s">
        <v>443</v>
      </c>
      <c r="H65" s="61"/>
      <c r="I65" s="61"/>
      <c r="J65" s="61"/>
      <c r="K65" s="61"/>
      <c r="L65" s="61"/>
      <c r="M65" s="61"/>
      <c r="N65" s="61"/>
      <c r="O65" s="61"/>
    </row>
    <row r="66" spans="1:15" x14ac:dyDescent="0.25">
      <c r="A66" s="379" t="str">
        <f>IF(Basisdaten!C6="","",Basisdaten!C6)</f>
        <v/>
      </c>
      <c r="B66" s="121" t="str">
        <f>IF($A$66="","",VLOOKUP($A$66,$A$69:$J$388,2,FALSE))</f>
        <v/>
      </c>
      <c r="C66" s="121" t="str">
        <f>IF($A$66="","",VLOOKUP($A$66,$A$69:$J$388,3,FALSE))</f>
        <v/>
      </c>
      <c r="D66" s="121" t="str">
        <f>IF($A$66="","",VLOOKUP($A$66,$A$69:$J$388,4,FALSE))</f>
        <v/>
      </c>
      <c r="E66" s="121" t="str">
        <f>IF($A$66="","",VLOOKUP($A$66,$A$69:$J$388,5,FALSE))</f>
        <v/>
      </c>
      <c r="F66" s="380" t="str">
        <f>IF($A$66="","",VLOOKUP($A$66,$A$69:$J$388,6,FALSE))</f>
        <v/>
      </c>
    </row>
    <row r="68" spans="1:15" x14ac:dyDescent="0.25">
      <c r="A68" s="122" t="s">
        <v>304</v>
      </c>
      <c r="B68" s="122" t="s">
        <v>504</v>
      </c>
      <c r="C68" s="122" t="s">
        <v>513</v>
      </c>
      <c r="D68" s="122" t="s">
        <v>514</v>
      </c>
      <c r="E68" s="122" t="s">
        <v>305</v>
      </c>
      <c r="F68" s="378" t="s">
        <v>443</v>
      </c>
      <c r="H68" s="61"/>
      <c r="I68" s="61"/>
      <c r="J68" s="61"/>
      <c r="K68" s="61"/>
      <c r="L68" s="61"/>
      <c r="M68" s="61"/>
      <c r="N68" s="61"/>
      <c r="O68" s="61"/>
    </row>
    <row r="69" spans="1:15" x14ac:dyDescent="0.2">
      <c r="A69" s="121" t="s">
        <v>1325</v>
      </c>
      <c r="B69" s="121" t="s">
        <v>516</v>
      </c>
      <c r="C69" s="121" t="s">
        <v>517</v>
      </c>
      <c r="D69" s="121" t="s">
        <v>802</v>
      </c>
      <c r="E69" s="121" t="s">
        <v>355</v>
      </c>
      <c r="F69" s="380">
        <v>37818</v>
      </c>
      <c r="H69" s="381"/>
      <c r="I69" s="382"/>
      <c r="J69" s="382"/>
      <c r="K69" s="382"/>
      <c r="L69" s="382"/>
      <c r="M69" s="382"/>
      <c r="N69" s="234"/>
      <c r="O69" s="234"/>
    </row>
    <row r="70" spans="1:15" x14ac:dyDescent="0.2">
      <c r="A70" s="121" t="s">
        <v>1326</v>
      </c>
      <c r="B70" s="121" t="s">
        <v>1091</v>
      </c>
      <c r="C70" s="121" t="s">
        <v>1096</v>
      </c>
      <c r="D70" s="121" t="s">
        <v>802</v>
      </c>
      <c r="E70" s="121" t="s">
        <v>355</v>
      </c>
      <c r="F70" s="380">
        <v>37820</v>
      </c>
      <c r="H70" s="381"/>
      <c r="I70" s="382"/>
      <c r="J70" s="382"/>
      <c r="K70" s="382"/>
      <c r="L70" s="382"/>
      <c r="M70" s="382"/>
      <c r="N70" s="234"/>
      <c r="O70" s="234"/>
    </row>
    <row r="71" spans="1:15" x14ac:dyDescent="0.2">
      <c r="A71" s="121" t="s">
        <v>1327</v>
      </c>
      <c r="B71" s="121" t="s">
        <v>746</v>
      </c>
      <c r="C71" s="121" t="s">
        <v>1268</v>
      </c>
      <c r="D71" s="121" t="s">
        <v>802</v>
      </c>
      <c r="E71" s="121" t="s">
        <v>361</v>
      </c>
      <c r="F71" s="380">
        <v>37827</v>
      </c>
      <c r="H71" s="381"/>
      <c r="I71" s="382"/>
      <c r="J71" s="382"/>
      <c r="K71" s="382"/>
      <c r="L71" s="382"/>
      <c r="M71" s="382"/>
      <c r="N71" s="234"/>
      <c r="O71" s="234"/>
    </row>
    <row r="72" spans="1:15" x14ac:dyDescent="0.2">
      <c r="A72" s="121" t="s">
        <v>1328</v>
      </c>
      <c r="B72" s="121" t="s">
        <v>1092</v>
      </c>
      <c r="C72" s="121" t="s">
        <v>747</v>
      </c>
      <c r="D72" s="121" t="s">
        <v>802</v>
      </c>
      <c r="E72" s="121" t="s">
        <v>355</v>
      </c>
      <c r="F72" s="380">
        <v>37832</v>
      </c>
      <c r="H72" s="381"/>
      <c r="I72" s="382"/>
      <c r="J72" s="382"/>
      <c r="K72" s="382"/>
      <c r="L72" s="382"/>
      <c r="M72" s="382"/>
      <c r="N72" s="234"/>
      <c r="O72" s="234"/>
    </row>
    <row r="73" spans="1:15" x14ac:dyDescent="0.2">
      <c r="A73" s="121" t="s">
        <v>1329</v>
      </c>
      <c r="B73" s="121" t="s">
        <v>748</v>
      </c>
      <c r="C73" s="121" t="s">
        <v>894</v>
      </c>
      <c r="D73" s="121" t="s">
        <v>802</v>
      </c>
      <c r="E73" s="121" t="s">
        <v>359</v>
      </c>
      <c r="F73" s="380">
        <v>37846</v>
      </c>
      <c r="H73" s="381"/>
      <c r="I73" s="382"/>
      <c r="J73" s="382"/>
      <c r="K73" s="382"/>
      <c r="L73" s="382"/>
      <c r="M73" s="382"/>
      <c r="N73" s="234"/>
      <c r="O73" s="234"/>
    </row>
    <row r="74" spans="1:15" x14ac:dyDescent="0.2">
      <c r="A74" s="121" t="s">
        <v>1330</v>
      </c>
      <c r="B74" s="121" t="s">
        <v>557</v>
      </c>
      <c r="C74" s="121" t="s">
        <v>558</v>
      </c>
      <c r="D74" s="121" t="s">
        <v>802</v>
      </c>
      <c r="E74" s="121" t="s">
        <v>363</v>
      </c>
      <c r="F74" s="380">
        <v>37848</v>
      </c>
      <c r="H74" s="381"/>
      <c r="I74" s="382"/>
      <c r="J74" s="382"/>
      <c r="K74" s="382"/>
      <c r="L74" s="382"/>
      <c r="M74" s="382"/>
      <c r="N74" s="234"/>
      <c r="O74" s="234"/>
    </row>
    <row r="75" spans="1:15" x14ac:dyDescent="0.2">
      <c r="A75" s="121" t="s">
        <v>1331</v>
      </c>
      <c r="B75" s="121" t="s">
        <v>559</v>
      </c>
      <c r="C75" s="121" t="s">
        <v>1097</v>
      </c>
      <c r="D75" s="121" t="s">
        <v>802</v>
      </c>
      <c r="E75" s="121" t="s">
        <v>355</v>
      </c>
      <c r="F75" s="380">
        <v>37609</v>
      </c>
      <c r="H75" s="381"/>
      <c r="I75" s="382"/>
      <c r="J75" s="382"/>
      <c r="K75" s="382"/>
      <c r="L75" s="382"/>
      <c r="M75" s="382"/>
      <c r="N75" s="234"/>
      <c r="O75" s="234"/>
    </row>
    <row r="76" spans="1:15" x14ac:dyDescent="0.2">
      <c r="A76" s="121" t="s">
        <v>1332</v>
      </c>
      <c r="B76" s="121" t="s">
        <v>524</v>
      </c>
      <c r="C76" s="121" t="s">
        <v>525</v>
      </c>
      <c r="D76" s="121" t="s">
        <v>802</v>
      </c>
      <c r="E76" s="121" t="s">
        <v>355</v>
      </c>
      <c r="F76" s="380">
        <v>37880</v>
      </c>
      <c r="H76" s="381"/>
      <c r="I76" s="382"/>
      <c r="J76" s="382"/>
      <c r="K76" s="382"/>
      <c r="L76" s="382"/>
      <c r="M76" s="382"/>
      <c r="N76" s="234"/>
      <c r="O76" s="234"/>
    </row>
    <row r="77" spans="1:15" x14ac:dyDescent="0.2">
      <c r="A77" s="121" t="s">
        <v>1333</v>
      </c>
      <c r="B77" s="121" t="s">
        <v>524</v>
      </c>
      <c r="C77" s="121" t="s">
        <v>560</v>
      </c>
      <c r="D77" s="121" t="s">
        <v>802</v>
      </c>
      <c r="E77" s="121" t="s">
        <v>355</v>
      </c>
      <c r="F77" s="380">
        <v>39735</v>
      </c>
      <c r="H77" s="381"/>
      <c r="I77" s="382"/>
      <c r="J77" s="382"/>
      <c r="K77" s="382"/>
      <c r="L77" s="382"/>
      <c r="M77" s="382"/>
      <c r="N77" s="234"/>
      <c r="O77" s="383"/>
    </row>
    <row r="78" spans="1:15" x14ac:dyDescent="0.2">
      <c r="A78" s="121" t="s">
        <v>1334</v>
      </c>
      <c r="B78" s="121" t="s">
        <v>539</v>
      </c>
      <c r="C78" s="121" t="s">
        <v>540</v>
      </c>
      <c r="D78" s="121" t="s">
        <v>802</v>
      </c>
      <c r="E78" s="121" t="s">
        <v>355</v>
      </c>
      <c r="F78" s="380">
        <v>37916</v>
      </c>
      <c r="H78" s="381"/>
      <c r="I78" s="384"/>
      <c r="J78" s="384"/>
      <c r="K78" s="384"/>
      <c r="L78" s="384"/>
      <c r="M78" s="384"/>
      <c r="N78" s="383"/>
      <c r="O78" s="383"/>
    </row>
    <row r="79" spans="1:15" x14ac:dyDescent="0.2">
      <c r="A79" s="121" t="s">
        <v>1335</v>
      </c>
      <c r="B79" s="121" t="s">
        <v>895</v>
      </c>
      <c r="C79" s="121" t="s">
        <v>561</v>
      </c>
      <c r="D79" s="121" t="s">
        <v>802</v>
      </c>
      <c r="E79" s="121" t="s">
        <v>357</v>
      </c>
      <c r="F79" s="380">
        <v>37930</v>
      </c>
      <c r="H79" s="381"/>
      <c r="I79" s="382"/>
      <c r="J79" s="382"/>
      <c r="K79" s="382"/>
      <c r="L79" s="382"/>
      <c r="M79" s="382"/>
      <c r="N79" s="234"/>
      <c r="O79" s="234"/>
    </row>
    <row r="80" spans="1:15" x14ac:dyDescent="0.2">
      <c r="A80" s="121" t="s">
        <v>1336</v>
      </c>
      <c r="B80" s="121" t="s">
        <v>562</v>
      </c>
      <c r="C80" s="121" t="s">
        <v>812</v>
      </c>
      <c r="D80" s="121" t="s">
        <v>802</v>
      </c>
      <c r="E80" s="121" t="s">
        <v>363</v>
      </c>
      <c r="F80" s="380">
        <v>38414</v>
      </c>
      <c r="H80" s="381"/>
      <c r="I80" s="382"/>
      <c r="J80" s="382"/>
      <c r="K80" s="382"/>
      <c r="L80" s="382"/>
      <c r="M80" s="382"/>
      <c r="N80" s="234"/>
      <c r="O80" s="234"/>
    </row>
    <row r="81" spans="1:15" x14ac:dyDescent="0.2">
      <c r="A81" s="121" t="s">
        <v>1337</v>
      </c>
      <c r="B81" s="121" t="s">
        <v>562</v>
      </c>
      <c r="C81" s="121" t="s">
        <v>563</v>
      </c>
      <c r="D81" s="121" t="s">
        <v>802</v>
      </c>
      <c r="E81" s="121" t="s">
        <v>363</v>
      </c>
      <c r="F81" s="380">
        <v>39575</v>
      </c>
      <c r="H81" s="381"/>
      <c r="I81" s="382"/>
      <c r="J81" s="382"/>
      <c r="K81" s="382"/>
      <c r="L81" s="382"/>
      <c r="M81" s="382"/>
      <c r="N81" s="234"/>
      <c r="O81" s="234"/>
    </row>
    <row r="82" spans="1:15" x14ac:dyDescent="0.2">
      <c r="A82" s="121" t="s">
        <v>1338</v>
      </c>
      <c r="B82" s="121" t="s">
        <v>541</v>
      </c>
      <c r="C82" s="121" t="s">
        <v>542</v>
      </c>
      <c r="D82" s="121" t="s">
        <v>802</v>
      </c>
      <c r="E82" s="121" t="s">
        <v>364</v>
      </c>
      <c r="F82" s="380">
        <v>37930</v>
      </c>
      <c r="H82" s="381"/>
      <c r="I82" s="382"/>
      <c r="J82" s="382"/>
      <c r="K82" s="382"/>
      <c r="L82" s="382"/>
      <c r="M82" s="382"/>
      <c r="N82" s="234"/>
      <c r="O82" s="234"/>
    </row>
    <row r="83" spans="1:15" x14ac:dyDescent="0.2">
      <c r="A83" s="121" t="s">
        <v>1339</v>
      </c>
      <c r="B83" s="121" t="s">
        <v>564</v>
      </c>
      <c r="C83" s="121" t="s">
        <v>565</v>
      </c>
      <c r="D83" s="121" t="s">
        <v>802</v>
      </c>
      <c r="E83" s="121" t="s">
        <v>355</v>
      </c>
      <c r="F83" s="380">
        <v>37959</v>
      </c>
      <c r="H83" s="381"/>
      <c r="I83" s="382"/>
      <c r="J83" s="382"/>
      <c r="K83" s="382"/>
      <c r="L83" s="382"/>
      <c r="M83" s="382"/>
      <c r="N83" s="234"/>
      <c r="O83" s="234"/>
    </row>
    <row r="84" spans="1:15" x14ac:dyDescent="0.2">
      <c r="A84" s="121" t="s">
        <v>1340</v>
      </c>
      <c r="B84" s="121" t="s">
        <v>522</v>
      </c>
      <c r="C84" s="121" t="s">
        <v>6</v>
      </c>
      <c r="D84" s="121" t="s">
        <v>802</v>
      </c>
      <c r="E84" s="121" t="s">
        <v>356</v>
      </c>
      <c r="F84" s="380">
        <v>37966</v>
      </c>
      <c r="H84" s="381"/>
      <c r="I84" s="382"/>
      <c r="J84" s="382"/>
      <c r="K84" s="382"/>
      <c r="L84" s="382"/>
      <c r="M84" s="382"/>
      <c r="N84" s="234"/>
      <c r="O84" s="234"/>
    </row>
    <row r="85" spans="1:15" x14ac:dyDescent="0.2">
      <c r="A85" s="121" t="s">
        <v>1341</v>
      </c>
      <c r="B85" s="121" t="s">
        <v>522</v>
      </c>
      <c r="C85" s="121" t="s">
        <v>749</v>
      </c>
      <c r="D85" s="121" t="s">
        <v>802</v>
      </c>
      <c r="E85" s="121" t="s">
        <v>356</v>
      </c>
      <c r="F85" s="380">
        <v>38336</v>
      </c>
      <c r="H85" s="381"/>
      <c r="I85" s="382"/>
      <c r="J85" s="382"/>
      <c r="K85" s="382"/>
      <c r="L85" s="382"/>
      <c r="M85" s="382"/>
      <c r="N85" s="234"/>
      <c r="O85" s="234"/>
    </row>
    <row r="86" spans="1:15" x14ac:dyDescent="0.2">
      <c r="A86" s="121" t="s">
        <v>1342</v>
      </c>
      <c r="B86" s="121" t="s">
        <v>1269</v>
      </c>
      <c r="C86" s="121" t="s">
        <v>1270</v>
      </c>
      <c r="D86" s="121" t="s">
        <v>802</v>
      </c>
      <c r="E86" s="121" t="s">
        <v>355</v>
      </c>
      <c r="F86" s="380">
        <v>38121</v>
      </c>
      <c r="H86" s="381"/>
      <c r="I86" s="382"/>
      <c r="J86" s="382"/>
      <c r="K86" s="382"/>
      <c r="L86" s="382"/>
      <c r="M86" s="382"/>
      <c r="N86" s="234"/>
      <c r="O86" s="234"/>
    </row>
    <row r="87" spans="1:15" x14ac:dyDescent="0.2">
      <c r="A87" s="121" t="s">
        <v>1343</v>
      </c>
      <c r="B87" s="121" t="s">
        <v>851</v>
      </c>
      <c r="C87" s="121" t="s">
        <v>852</v>
      </c>
      <c r="D87" s="121" t="s">
        <v>802</v>
      </c>
      <c r="E87" s="121" t="s">
        <v>368</v>
      </c>
      <c r="F87" s="380">
        <v>37999</v>
      </c>
      <c r="H87" s="381"/>
      <c r="I87" s="382"/>
      <c r="J87" s="382"/>
      <c r="K87" s="382"/>
      <c r="L87" s="382"/>
      <c r="M87" s="382"/>
      <c r="N87" s="234"/>
      <c r="O87" s="234"/>
    </row>
    <row r="88" spans="1:15" x14ac:dyDescent="0.2">
      <c r="A88" s="121" t="s">
        <v>1344</v>
      </c>
      <c r="B88" s="121" t="s">
        <v>813</v>
      </c>
      <c r="C88" s="121" t="s">
        <v>853</v>
      </c>
      <c r="D88" s="121" t="s">
        <v>802</v>
      </c>
      <c r="E88" s="121" t="s">
        <v>365</v>
      </c>
      <c r="F88" s="380">
        <v>37972</v>
      </c>
      <c r="H88" s="381"/>
      <c r="I88" s="382"/>
      <c r="J88" s="382"/>
      <c r="K88" s="382"/>
      <c r="L88" s="382"/>
      <c r="M88" s="382"/>
      <c r="N88" s="234"/>
      <c r="O88" s="234"/>
    </row>
    <row r="89" spans="1:15" x14ac:dyDescent="0.2">
      <c r="A89" s="121" t="s">
        <v>1345</v>
      </c>
      <c r="B89" s="121" t="s">
        <v>531</v>
      </c>
      <c r="C89" s="121" t="s">
        <v>532</v>
      </c>
      <c r="D89" s="121" t="s">
        <v>802</v>
      </c>
      <c r="E89" s="121" t="s">
        <v>357</v>
      </c>
      <c r="F89" s="380">
        <v>38048</v>
      </c>
      <c r="H89" s="381"/>
      <c r="I89" s="382"/>
      <c r="J89" s="382"/>
      <c r="K89" s="382"/>
      <c r="L89" s="382"/>
      <c r="M89" s="382"/>
      <c r="N89" s="234"/>
      <c r="O89" s="234"/>
    </row>
    <row r="90" spans="1:15" x14ac:dyDescent="0.2">
      <c r="A90" s="121" t="s">
        <v>1346</v>
      </c>
      <c r="B90" s="121" t="s">
        <v>814</v>
      </c>
      <c r="C90" s="121" t="s">
        <v>1271</v>
      </c>
      <c r="D90" s="121" t="s">
        <v>802</v>
      </c>
      <c r="E90" s="121" t="s">
        <v>355</v>
      </c>
      <c r="F90" s="380">
        <v>38061</v>
      </c>
      <c r="H90" s="381"/>
      <c r="I90" s="382"/>
      <c r="J90" s="382"/>
      <c r="K90" s="382"/>
      <c r="L90" s="382"/>
      <c r="M90" s="382"/>
      <c r="N90" s="234"/>
      <c r="O90" s="234"/>
    </row>
    <row r="91" spans="1:15" x14ac:dyDescent="0.2">
      <c r="A91" s="121" t="s">
        <v>1347</v>
      </c>
      <c r="B91" s="121" t="s">
        <v>566</v>
      </c>
      <c r="C91" s="121" t="s">
        <v>750</v>
      </c>
      <c r="D91" s="121" t="s">
        <v>802</v>
      </c>
      <c r="E91" s="121" t="s">
        <v>356</v>
      </c>
      <c r="F91" s="380">
        <v>38057</v>
      </c>
      <c r="H91" s="381"/>
      <c r="I91" s="382"/>
      <c r="J91" s="382"/>
      <c r="K91" s="382"/>
      <c r="L91" s="382"/>
      <c r="M91" s="382"/>
      <c r="N91" s="234"/>
      <c r="O91" s="234"/>
    </row>
    <row r="92" spans="1:15" x14ac:dyDescent="0.2">
      <c r="A92" s="121" t="s">
        <v>1348</v>
      </c>
      <c r="B92" s="121" t="s">
        <v>567</v>
      </c>
      <c r="C92" s="121" t="s">
        <v>683</v>
      </c>
      <c r="D92" s="121" t="s">
        <v>802</v>
      </c>
      <c r="E92" s="121" t="s">
        <v>366</v>
      </c>
      <c r="F92" s="380">
        <v>38077</v>
      </c>
      <c r="H92" s="381"/>
      <c r="I92" s="382"/>
      <c r="J92" s="382"/>
      <c r="K92" s="382"/>
      <c r="L92" s="382"/>
      <c r="M92" s="382"/>
      <c r="N92" s="234"/>
      <c r="O92" s="234"/>
    </row>
    <row r="93" spans="1:15" x14ac:dyDescent="0.2">
      <c r="A93" s="121" t="s">
        <v>1349</v>
      </c>
      <c r="B93" s="121" t="s">
        <v>568</v>
      </c>
      <c r="C93" s="121" t="s">
        <v>569</v>
      </c>
      <c r="D93" s="121" t="s">
        <v>802</v>
      </c>
      <c r="E93" s="121" t="s">
        <v>360</v>
      </c>
      <c r="F93" s="380">
        <v>38077</v>
      </c>
      <c r="H93" s="381"/>
      <c r="I93" s="382"/>
      <c r="J93" s="382"/>
      <c r="K93" s="382"/>
      <c r="L93" s="382"/>
      <c r="M93" s="382"/>
      <c r="N93" s="234"/>
      <c r="O93" s="234"/>
    </row>
    <row r="94" spans="1:15" x14ac:dyDescent="0.2">
      <c r="A94" s="121" t="s">
        <v>1350</v>
      </c>
      <c r="B94" s="121" t="s">
        <v>1272</v>
      </c>
      <c r="C94" s="121" t="s">
        <v>751</v>
      </c>
      <c r="D94" s="121" t="s">
        <v>802</v>
      </c>
      <c r="E94" s="121" t="s">
        <v>306</v>
      </c>
      <c r="F94" s="380">
        <v>38092</v>
      </c>
      <c r="H94" s="381"/>
      <c r="I94" s="382"/>
      <c r="J94" s="382"/>
      <c r="K94" s="382"/>
      <c r="L94" s="382"/>
      <c r="M94" s="382"/>
      <c r="N94" s="234"/>
      <c r="O94" s="234"/>
    </row>
    <row r="95" spans="1:15" x14ac:dyDescent="0.2">
      <c r="A95" s="121" t="s">
        <v>1351</v>
      </c>
      <c r="B95" s="121" t="s">
        <v>570</v>
      </c>
      <c r="C95" s="121" t="s">
        <v>571</v>
      </c>
      <c r="D95" s="121" t="s">
        <v>802</v>
      </c>
      <c r="E95" s="121" t="s">
        <v>363</v>
      </c>
      <c r="F95" s="380">
        <v>38100</v>
      </c>
      <c r="H95" s="381"/>
      <c r="I95" s="382"/>
      <c r="J95" s="382"/>
      <c r="K95" s="382"/>
      <c r="L95" s="382"/>
      <c r="M95" s="382"/>
      <c r="N95" s="234"/>
      <c r="O95" s="234"/>
    </row>
    <row r="96" spans="1:15" x14ac:dyDescent="0.2">
      <c r="A96" s="121" t="s">
        <v>1352</v>
      </c>
      <c r="B96" s="121" t="s">
        <v>1152</v>
      </c>
      <c r="C96" s="121" t="s">
        <v>572</v>
      </c>
      <c r="D96" s="121" t="s">
        <v>802</v>
      </c>
      <c r="E96" s="121" t="s">
        <v>355</v>
      </c>
      <c r="F96" s="380">
        <v>38103</v>
      </c>
      <c r="H96" s="381"/>
      <c r="I96" s="382"/>
      <c r="J96" s="382"/>
      <c r="K96" s="382"/>
      <c r="L96" s="382"/>
      <c r="M96" s="382"/>
      <c r="N96" s="234"/>
      <c r="O96" s="234"/>
    </row>
    <row r="97" spans="1:15" x14ac:dyDescent="0.2">
      <c r="A97" s="121" t="s">
        <v>1353</v>
      </c>
      <c r="B97" s="121" t="s">
        <v>752</v>
      </c>
      <c r="C97" s="121" t="s">
        <v>573</v>
      </c>
      <c r="D97" s="121" t="s">
        <v>802</v>
      </c>
      <c r="E97" s="121" t="s">
        <v>355</v>
      </c>
      <c r="F97" s="380">
        <v>38121</v>
      </c>
      <c r="H97" s="381"/>
      <c r="I97" s="382"/>
      <c r="J97" s="382"/>
      <c r="K97" s="382"/>
      <c r="L97" s="382"/>
      <c r="M97" s="382"/>
      <c r="N97" s="234"/>
      <c r="O97" s="234"/>
    </row>
    <row r="98" spans="1:15" x14ac:dyDescent="0.2">
      <c r="A98" s="121" t="s">
        <v>1354</v>
      </c>
      <c r="B98" s="121" t="s">
        <v>752</v>
      </c>
      <c r="C98" s="121" t="s">
        <v>574</v>
      </c>
      <c r="D98" s="121" t="s">
        <v>802</v>
      </c>
      <c r="E98" s="121" t="s">
        <v>355</v>
      </c>
      <c r="F98" s="380">
        <v>38121</v>
      </c>
      <c r="H98" s="381"/>
      <c r="I98" s="382"/>
      <c r="J98" s="382"/>
      <c r="K98" s="382"/>
      <c r="L98" s="382"/>
      <c r="M98" s="382"/>
      <c r="N98" s="234"/>
      <c r="O98" s="234"/>
    </row>
    <row r="99" spans="1:15" x14ac:dyDescent="0.2">
      <c r="A99" s="121" t="s">
        <v>1355</v>
      </c>
      <c r="B99" s="121" t="s">
        <v>7</v>
      </c>
      <c r="C99" s="121" t="s">
        <v>575</v>
      </c>
      <c r="D99" s="121" t="s">
        <v>802</v>
      </c>
      <c r="E99" s="121" t="s">
        <v>355</v>
      </c>
      <c r="F99" s="380">
        <v>38468</v>
      </c>
      <c r="H99" s="381"/>
      <c r="I99" s="382"/>
      <c r="J99" s="382"/>
      <c r="K99" s="382"/>
      <c r="L99" s="382"/>
      <c r="M99" s="382"/>
      <c r="N99" s="234"/>
      <c r="O99" s="234"/>
    </row>
    <row r="100" spans="1:15" x14ac:dyDescent="0.2">
      <c r="A100" s="121" t="s">
        <v>1356</v>
      </c>
      <c r="B100" s="121" t="s">
        <v>515</v>
      </c>
      <c r="C100" s="121" t="s">
        <v>1004</v>
      </c>
      <c r="D100" s="121" t="s">
        <v>802</v>
      </c>
      <c r="E100" s="121" t="s">
        <v>367</v>
      </c>
      <c r="F100" s="380">
        <v>38197</v>
      </c>
      <c r="H100" s="381"/>
      <c r="I100" s="382"/>
      <c r="J100" s="382"/>
      <c r="K100" s="382"/>
      <c r="L100" s="382"/>
      <c r="M100" s="382"/>
      <c r="N100" s="234"/>
      <c r="O100" s="234"/>
    </row>
    <row r="101" spans="1:15" x14ac:dyDescent="0.2">
      <c r="A101" s="121" t="s">
        <v>1357</v>
      </c>
      <c r="B101" s="121" t="s">
        <v>515</v>
      </c>
      <c r="C101" s="121" t="s">
        <v>854</v>
      </c>
      <c r="D101" s="121" t="s">
        <v>802</v>
      </c>
      <c r="E101" s="121" t="s">
        <v>367</v>
      </c>
      <c r="F101" s="380">
        <v>38944</v>
      </c>
      <c r="H101" s="381"/>
      <c r="I101" s="382"/>
      <c r="J101" s="382"/>
      <c r="K101" s="382"/>
      <c r="L101" s="382"/>
      <c r="M101" s="382"/>
      <c r="N101" s="234"/>
      <c r="O101" s="234"/>
    </row>
    <row r="102" spans="1:15" x14ac:dyDescent="0.2">
      <c r="A102" s="121" t="s">
        <v>1358</v>
      </c>
      <c r="B102" s="121" t="s">
        <v>943</v>
      </c>
      <c r="C102" s="121" t="s">
        <v>944</v>
      </c>
      <c r="D102" s="121" t="s">
        <v>802</v>
      </c>
      <c r="E102" s="121" t="s">
        <v>357</v>
      </c>
      <c r="F102" s="380">
        <v>38184</v>
      </c>
      <c r="H102" s="381"/>
      <c r="I102" s="382"/>
      <c r="J102" s="382"/>
      <c r="K102" s="382"/>
      <c r="L102" s="382"/>
      <c r="M102" s="382"/>
      <c r="N102" s="234"/>
      <c r="O102" s="234"/>
    </row>
    <row r="103" spans="1:15" x14ac:dyDescent="0.2">
      <c r="A103" s="121" t="s">
        <v>1359</v>
      </c>
      <c r="B103" s="121" t="s">
        <v>577</v>
      </c>
      <c r="C103" s="121" t="s">
        <v>815</v>
      </c>
      <c r="D103" s="121" t="s">
        <v>802</v>
      </c>
      <c r="E103" s="121" t="s">
        <v>356</v>
      </c>
      <c r="F103" s="380">
        <v>38106</v>
      </c>
      <c r="H103" s="381"/>
      <c r="I103" s="382"/>
      <c r="J103" s="382"/>
      <c r="K103" s="382"/>
      <c r="L103" s="382"/>
      <c r="M103" s="382"/>
      <c r="N103" s="234"/>
      <c r="O103" s="234"/>
    </row>
    <row r="104" spans="1:15" x14ac:dyDescent="0.2">
      <c r="A104" s="121" t="s">
        <v>1360</v>
      </c>
      <c r="B104" s="121" t="s">
        <v>578</v>
      </c>
      <c r="C104" s="121" t="s">
        <v>579</v>
      </c>
      <c r="D104" s="121" t="s">
        <v>802</v>
      </c>
      <c r="E104" s="121" t="s">
        <v>363</v>
      </c>
      <c r="F104" s="380">
        <v>38121</v>
      </c>
      <c r="H104" s="381"/>
      <c r="I104" s="382"/>
      <c r="J104" s="382"/>
      <c r="K104" s="382"/>
      <c r="L104" s="382"/>
      <c r="M104" s="382"/>
      <c r="N104" s="234"/>
      <c r="O104" s="234"/>
    </row>
    <row r="105" spans="1:15" x14ac:dyDescent="0.2">
      <c r="A105" s="121" t="s">
        <v>1361</v>
      </c>
      <c r="B105" s="121" t="s">
        <v>580</v>
      </c>
      <c r="C105" s="121" t="s">
        <v>753</v>
      </c>
      <c r="D105" s="121" t="s">
        <v>802</v>
      </c>
      <c r="E105" s="121" t="s">
        <v>367</v>
      </c>
      <c r="F105" s="380">
        <v>38134</v>
      </c>
      <c r="H105" s="381"/>
      <c r="I105" s="382"/>
      <c r="J105" s="382"/>
      <c r="K105" s="382"/>
      <c r="L105" s="382"/>
      <c r="M105" s="382"/>
      <c r="N105" s="234"/>
      <c r="O105" s="234"/>
    </row>
    <row r="106" spans="1:15" x14ac:dyDescent="0.2">
      <c r="A106" s="121" t="s">
        <v>1362</v>
      </c>
      <c r="B106" s="121" t="s">
        <v>581</v>
      </c>
      <c r="C106" s="121" t="s">
        <v>582</v>
      </c>
      <c r="D106" s="121" t="s">
        <v>802</v>
      </c>
      <c r="E106" s="121" t="s">
        <v>361</v>
      </c>
      <c r="F106" s="380">
        <v>38114</v>
      </c>
      <c r="H106" s="381"/>
      <c r="I106" s="382"/>
      <c r="J106" s="382"/>
      <c r="K106" s="382"/>
      <c r="L106" s="382"/>
      <c r="M106" s="382"/>
      <c r="N106" s="234"/>
      <c r="O106" s="234"/>
    </row>
    <row r="107" spans="1:15" x14ac:dyDescent="0.2">
      <c r="A107" s="121" t="s">
        <v>1363</v>
      </c>
      <c r="B107" s="121" t="s">
        <v>816</v>
      </c>
      <c r="C107" s="121" t="s">
        <v>817</v>
      </c>
      <c r="D107" s="121" t="s">
        <v>802</v>
      </c>
      <c r="E107" s="121" t="s">
        <v>359</v>
      </c>
      <c r="F107" s="380">
        <v>38125</v>
      </c>
      <c r="H107" s="381"/>
      <c r="I107" s="382"/>
      <c r="J107" s="382"/>
      <c r="K107" s="382"/>
      <c r="L107" s="382"/>
      <c r="M107" s="382"/>
      <c r="N107" s="234"/>
      <c r="O107" s="234"/>
    </row>
    <row r="108" spans="1:15" x14ac:dyDescent="0.2">
      <c r="A108" s="121" t="s">
        <v>1364</v>
      </c>
      <c r="B108" s="121" t="s">
        <v>521</v>
      </c>
      <c r="C108" s="121" t="s">
        <v>945</v>
      </c>
      <c r="D108" s="121" t="s">
        <v>802</v>
      </c>
      <c r="E108" s="121" t="s">
        <v>355</v>
      </c>
      <c r="F108" s="380">
        <v>37777</v>
      </c>
      <c r="H108" s="381"/>
      <c r="I108" s="382"/>
      <c r="J108" s="382"/>
      <c r="K108" s="382"/>
      <c r="L108" s="382"/>
      <c r="M108" s="382"/>
      <c r="N108" s="234"/>
      <c r="O108" s="234"/>
    </row>
    <row r="109" spans="1:15" x14ac:dyDescent="0.2">
      <c r="A109" s="121" t="s">
        <v>1365</v>
      </c>
      <c r="B109" s="121" t="s">
        <v>583</v>
      </c>
      <c r="C109" s="121" t="s">
        <v>855</v>
      </c>
      <c r="D109" s="121" t="s">
        <v>802</v>
      </c>
      <c r="E109" s="121" t="s">
        <v>355</v>
      </c>
      <c r="F109" s="380">
        <v>38114</v>
      </c>
      <c r="H109" s="381"/>
      <c r="I109" s="382"/>
      <c r="J109" s="382"/>
      <c r="K109" s="382"/>
      <c r="L109" s="382"/>
      <c r="M109" s="382"/>
      <c r="N109" s="234"/>
      <c r="O109" s="234"/>
    </row>
    <row r="110" spans="1:15" x14ac:dyDescent="0.2">
      <c r="A110" s="121" t="s">
        <v>1366</v>
      </c>
      <c r="B110" s="121" t="s">
        <v>583</v>
      </c>
      <c r="C110" s="121" t="s">
        <v>856</v>
      </c>
      <c r="D110" s="121" t="s">
        <v>802</v>
      </c>
      <c r="E110" s="121" t="s">
        <v>355</v>
      </c>
      <c r="F110" s="380">
        <v>38114</v>
      </c>
      <c r="H110" s="381"/>
      <c r="I110" s="382"/>
      <c r="J110" s="382"/>
      <c r="K110" s="382"/>
      <c r="L110" s="382"/>
      <c r="M110" s="382"/>
      <c r="N110" s="234"/>
      <c r="O110" s="234"/>
    </row>
    <row r="111" spans="1:15" x14ac:dyDescent="0.2">
      <c r="A111" s="121" t="s">
        <v>1367</v>
      </c>
      <c r="B111" s="121" t="s">
        <v>946</v>
      </c>
      <c r="C111" s="121" t="s">
        <v>947</v>
      </c>
      <c r="D111" s="121" t="s">
        <v>802</v>
      </c>
      <c r="E111" s="121" t="s">
        <v>358</v>
      </c>
      <c r="F111" s="380">
        <v>38146</v>
      </c>
      <c r="H111" s="381"/>
      <c r="I111" s="382"/>
      <c r="J111" s="382"/>
      <c r="K111" s="382"/>
      <c r="L111" s="382"/>
      <c r="M111" s="382"/>
      <c r="N111" s="234"/>
      <c r="O111" s="234"/>
    </row>
    <row r="112" spans="1:15" x14ac:dyDescent="0.2">
      <c r="A112" s="121" t="s">
        <v>1368</v>
      </c>
      <c r="B112" s="121" t="s">
        <v>535</v>
      </c>
      <c r="C112" s="121" t="s">
        <v>1098</v>
      </c>
      <c r="D112" s="121" t="s">
        <v>802</v>
      </c>
      <c r="E112" s="121" t="s">
        <v>355</v>
      </c>
      <c r="F112" s="380">
        <v>38301</v>
      </c>
      <c r="H112" s="381"/>
      <c r="I112" s="382"/>
      <c r="J112" s="382"/>
      <c r="K112" s="382"/>
      <c r="L112" s="382"/>
      <c r="M112" s="382"/>
      <c r="N112" s="234"/>
      <c r="O112" s="234"/>
    </row>
    <row r="113" spans="1:15" x14ac:dyDescent="0.2">
      <c r="A113" s="121" t="s">
        <v>1369</v>
      </c>
      <c r="B113" s="121" t="s">
        <v>584</v>
      </c>
      <c r="C113" s="121" t="s">
        <v>754</v>
      </c>
      <c r="D113" s="121" t="s">
        <v>802</v>
      </c>
      <c r="E113" s="121" t="s">
        <v>356</v>
      </c>
      <c r="F113" s="380">
        <v>38197</v>
      </c>
      <c r="H113" s="381"/>
      <c r="I113" s="382"/>
      <c r="J113" s="382"/>
      <c r="K113" s="382"/>
      <c r="L113" s="382"/>
      <c r="M113" s="382"/>
      <c r="N113" s="234"/>
      <c r="O113" s="234"/>
    </row>
    <row r="114" spans="1:15" x14ac:dyDescent="0.2">
      <c r="A114" s="121" t="s">
        <v>1370</v>
      </c>
      <c r="B114" s="121" t="s">
        <v>585</v>
      </c>
      <c r="C114" s="121" t="s">
        <v>586</v>
      </c>
      <c r="D114" s="121" t="s">
        <v>802</v>
      </c>
      <c r="E114" s="121" t="s">
        <v>360</v>
      </c>
      <c r="F114" s="380">
        <v>38141</v>
      </c>
      <c r="H114" s="381"/>
      <c r="I114" s="382"/>
      <c r="J114" s="382"/>
      <c r="K114" s="382"/>
      <c r="L114" s="382"/>
      <c r="M114" s="382"/>
      <c r="N114" s="234"/>
      <c r="O114" s="234"/>
    </row>
    <row r="115" spans="1:15" x14ac:dyDescent="0.2">
      <c r="A115" s="121" t="s">
        <v>1371</v>
      </c>
      <c r="B115" s="121" t="s">
        <v>587</v>
      </c>
      <c r="C115" s="121" t="s">
        <v>948</v>
      </c>
      <c r="D115" s="121" t="s">
        <v>802</v>
      </c>
      <c r="E115" s="121" t="s">
        <v>361</v>
      </c>
      <c r="F115" s="380">
        <v>38135</v>
      </c>
      <c r="H115" s="381"/>
      <c r="I115" s="382"/>
      <c r="J115" s="382"/>
      <c r="K115" s="382"/>
      <c r="L115" s="382"/>
      <c r="M115" s="382"/>
      <c r="N115" s="234"/>
      <c r="O115" s="234"/>
    </row>
    <row r="116" spans="1:15" x14ac:dyDescent="0.2">
      <c r="A116" s="121" t="s">
        <v>1372</v>
      </c>
      <c r="B116" s="121" t="s">
        <v>1054</v>
      </c>
      <c r="C116" s="121" t="s">
        <v>1055</v>
      </c>
      <c r="D116" s="121" t="s">
        <v>802</v>
      </c>
      <c r="E116" s="121" t="s">
        <v>365</v>
      </c>
      <c r="F116" s="380">
        <v>38142</v>
      </c>
      <c r="H116" s="381"/>
      <c r="I116" s="382"/>
      <c r="J116" s="382"/>
      <c r="K116" s="382"/>
      <c r="L116" s="382"/>
      <c r="M116" s="382"/>
      <c r="N116" s="234"/>
      <c r="O116" s="234"/>
    </row>
    <row r="117" spans="1:15" x14ac:dyDescent="0.2">
      <c r="A117" s="121" t="s">
        <v>1373</v>
      </c>
      <c r="B117" s="121" t="s">
        <v>949</v>
      </c>
      <c r="C117" s="121" t="s">
        <v>950</v>
      </c>
      <c r="D117" s="121" t="s">
        <v>802</v>
      </c>
      <c r="E117" s="121" t="s">
        <v>363</v>
      </c>
      <c r="F117" s="380">
        <v>38251</v>
      </c>
      <c r="H117" s="381"/>
      <c r="I117" s="382"/>
      <c r="J117" s="382"/>
      <c r="K117" s="382"/>
      <c r="L117" s="382"/>
      <c r="M117" s="382"/>
      <c r="N117" s="234"/>
      <c r="O117" s="234"/>
    </row>
    <row r="118" spans="1:15" x14ac:dyDescent="0.2">
      <c r="A118" s="121" t="s">
        <v>1374</v>
      </c>
      <c r="B118" s="121" t="s">
        <v>588</v>
      </c>
      <c r="C118" s="121" t="s">
        <v>1153</v>
      </c>
      <c r="D118" s="121" t="s">
        <v>802</v>
      </c>
      <c r="E118" s="121" t="s">
        <v>356</v>
      </c>
      <c r="F118" s="380">
        <v>38147</v>
      </c>
      <c r="H118" s="381"/>
      <c r="I118" s="382"/>
      <c r="J118" s="382"/>
      <c r="K118" s="382"/>
      <c r="L118" s="382"/>
      <c r="M118" s="382"/>
      <c r="N118" s="234"/>
      <c r="O118" s="234"/>
    </row>
    <row r="119" spans="1:15" x14ac:dyDescent="0.2">
      <c r="A119" s="121" t="s">
        <v>1375</v>
      </c>
      <c r="B119" s="121" t="s">
        <v>620</v>
      </c>
      <c r="C119" s="121" t="s">
        <v>621</v>
      </c>
      <c r="D119" s="121" t="s">
        <v>802</v>
      </c>
      <c r="E119" s="121" t="s">
        <v>361</v>
      </c>
      <c r="F119" s="380">
        <v>38181</v>
      </c>
      <c r="H119" s="381"/>
      <c r="I119" s="382"/>
      <c r="J119" s="382"/>
      <c r="K119" s="382"/>
      <c r="L119" s="382"/>
      <c r="M119" s="382"/>
      <c r="N119" s="234"/>
      <c r="O119" s="234"/>
    </row>
    <row r="120" spans="1:15" x14ac:dyDescent="0.2">
      <c r="A120" s="121" t="s">
        <v>1376</v>
      </c>
      <c r="B120" s="121" t="s">
        <v>1056</v>
      </c>
      <c r="C120" s="121" t="s">
        <v>755</v>
      </c>
      <c r="D120" s="121" t="s">
        <v>802</v>
      </c>
      <c r="E120" s="121" t="s">
        <v>355</v>
      </c>
      <c r="F120" s="380">
        <v>38240</v>
      </c>
      <c r="H120" s="381"/>
      <c r="I120" s="382"/>
      <c r="J120" s="382"/>
      <c r="K120" s="382"/>
      <c r="L120" s="382"/>
      <c r="M120" s="382"/>
      <c r="N120" s="234"/>
      <c r="O120" s="234"/>
    </row>
    <row r="121" spans="1:15" x14ac:dyDescent="0.2">
      <c r="A121" s="121" t="s">
        <v>1377</v>
      </c>
      <c r="B121" s="121" t="s">
        <v>622</v>
      </c>
      <c r="C121" s="121" t="s">
        <v>1005</v>
      </c>
      <c r="D121" s="121" t="s">
        <v>802</v>
      </c>
      <c r="E121" s="121" t="s">
        <v>368</v>
      </c>
      <c r="F121" s="380">
        <v>38311</v>
      </c>
      <c r="H121" s="381"/>
      <c r="I121" s="382"/>
      <c r="J121" s="382"/>
      <c r="K121" s="382"/>
      <c r="L121" s="382"/>
      <c r="M121" s="382"/>
      <c r="N121" s="234"/>
      <c r="O121" s="234"/>
    </row>
    <row r="122" spans="1:15" x14ac:dyDescent="0.2">
      <c r="A122" s="121" t="s">
        <v>1378</v>
      </c>
      <c r="B122" s="121" t="s">
        <v>623</v>
      </c>
      <c r="C122" s="121" t="s">
        <v>756</v>
      </c>
      <c r="D122" s="121" t="s">
        <v>802</v>
      </c>
      <c r="E122" s="121" t="s">
        <v>361</v>
      </c>
      <c r="F122" s="380">
        <v>38184</v>
      </c>
      <c r="H122" s="381"/>
      <c r="I122" s="382"/>
      <c r="J122" s="382"/>
      <c r="K122" s="382"/>
      <c r="L122" s="382"/>
      <c r="M122" s="382"/>
      <c r="N122" s="234"/>
      <c r="O122" s="234"/>
    </row>
    <row r="123" spans="1:15" x14ac:dyDescent="0.2">
      <c r="A123" s="121" t="s">
        <v>1379</v>
      </c>
      <c r="B123" s="121" t="s">
        <v>624</v>
      </c>
      <c r="C123" s="121" t="s">
        <v>625</v>
      </c>
      <c r="D123" s="121" t="s">
        <v>802</v>
      </c>
      <c r="E123" s="121" t="s">
        <v>355</v>
      </c>
      <c r="F123" s="380">
        <v>38205</v>
      </c>
      <c r="H123" s="381"/>
      <c r="I123" s="382"/>
      <c r="J123" s="382"/>
      <c r="K123" s="382"/>
      <c r="L123" s="382"/>
      <c r="M123" s="382"/>
      <c r="N123" s="234"/>
      <c r="O123" s="234"/>
    </row>
    <row r="124" spans="1:15" x14ac:dyDescent="0.2">
      <c r="A124" s="121" t="s">
        <v>1380</v>
      </c>
      <c r="B124" s="121" t="s">
        <v>543</v>
      </c>
      <c r="C124" s="121" t="s">
        <v>818</v>
      </c>
      <c r="D124" s="121" t="s">
        <v>802</v>
      </c>
      <c r="E124" s="121" t="s">
        <v>355</v>
      </c>
      <c r="F124" s="380">
        <v>38289</v>
      </c>
      <c r="H124" s="381"/>
      <c r="I124" s="382"/>
      <c r="J124" s="382"/>
      <c r="K124" s="382"/>
      <c r="L124" s="382"/>
      <c r="M124" s="382"/>
      <c r="N124" s="234"/>
      <c r="O124" s="234"/>
    </row>
    <row r="125" spans="1:15" x14ac:dyDescent="0.2">
      <c r="A125" s="121" t="s">
        <v>1381</v>
      </c>
      <c r="B125" s="121" t="s">
        <v>1057</v>
      </c>
      <c r="C125" s="121" t="s">
        <v>757</v>
      </c>
      <c r="D125" s="121" t="s">
        <v>802</v>
      </c>
      <c r="E125" s="121" t="s">
        <v>356</v>
      </c>
      <c r="F125" s="380">
        <v>38251</v>
      </c>
      <c r="H125" s="381"/>
      <c r="I125" s="382"/>
      <c r="J125" s="382"/>
      <c r="K125" s="382"/>
      <c r="L125" s="382"/>
      <c r="M125" s="382"/>
      <c r="N125" s="234"/>
      <c r="O125" s="234"/>
    </row>
    <row r="126" spans="1:15" x14ac:dyDescent="0.2">
      <c r="A126" s="121" t="s">
        <v>1382</v>
      </c>
      <c r="B126" s="121" t="s">
        <v>1273</v>
      </c>
      <c r="C126" s="121" t="s">
        <v>626</v>
      </c>
      <c r="D126" s="121" t="s">
        <v>802</v>
      </c>
      <c r="E126" s="121" t="s">
        <v>356</v>
      </c>
      <c r="F126" s="380">
        <v>38265</v>
      </c>
      <c r="H126" s="381"/>
      <c r="I126" s="382"/>
      <c r="J126" s="382"/>
      <c r="K126" s="382"/>
      <c r="L126" s="382"/>
      <c r="M126" s="382"/>
      <c r="N126" s="234"/>
      <c r="O126" s="234"/>
    </row>
    <row r="127" spans="1:15" x14ac:dyDescent="0.2">
      <c r="A127" s="121" t="s">
        <v>1383</v>
      </c>
      <c r="B127" s="121" t="s">
        <v>627</v>
      </c>
      <c r="C127" s="121" t="s">
        <v>628</v>
      </c>
      <c r="D127" s="121" t="s">
        <v>802</v>
      </c>
      <c r="E127" s="121" t="s">
        <v>359</v>
      </c>
      <c r="F127" s="380">
        <v>38210</v>
      </c>
      <c r="H127" s="381"/>
      <c r="I127" s="382"/>
      <c r="J127" s="382"/>
      <c r="K127" s="382"/>
      <c r="L127" s="382"/>
      <c r="M127" s="382"/>
      <c r="N127" s="234"/>
      <c r="O127" s="234"/>
    </row>
    <row r="128" spans="1:15" x14ac:dyDescent="0.2">
      <c r="A128" s="121" t="s">
        <v>1384</v>
      </c>
      <c r="B128" s="121" t="s">
        <v>523</v>
      </c>
      <c r="C128" s="121" t="s">
        <v>8</v>
      </c>
      <c r="D128" s="121" t="s">
        <v>802</v>
      </c>
      <c r="E128" s="121" t="s">
        <v>362</v>
      </c>
      <c r="F128" s="380">
        <v>38206</v>
      </c>
      <c r="H128" s="381"/>
      <c r="I128" s="382"/>
      <c r="J128" s="382"/>
      <c r="K128" s="382"/>
      <c r="L128" s="382"/>
      <c r="M128" s="382"/>
      <c r="N128" s="234"/>
      <c r="O128" s="234"/>
    </row>
    <row r="129" spans="1:15" x14ac:dyDescent="0.2">
      <c r="A129" s="121" t="s">
        <v>1385</v>
      </c>
      <c r="B129" s="121" t="s">
        <v>629</v>
      </c>
      <c r="C129" s="121" t="s">
        <v>758</v>
      </c>
      <c r="D129" s="121" t="s">
        <v>802</v>
      </c>
      <c r="E129" s="121" t="s">
        <v>355</v>
      </c>
      <c r="F129" s="380">
        <v>38189</v>
      </c>
      <c r="H129" s="381"/>
      <c r="I129" s="382"/>
      <c r="J129" s="382"/>
      <c r="K129" s="382"/>
      <c r="L129" s="382"/>
      <c r="M129" s="382"/>
      <c r="N129" s="234"/>
      <c r="O129" s="234"/>
    </row>
    <row r="130" spans="1:15" x14ac:dyDescent="0.2">
      <c r="A130" s="121" t="s">
        <v>1386</v>
      </c>
      <c r="B130" s="121" t="s">
        <v>629</v>
      </c>
      <c r="C130" s="121" t="s">
        <v>630</v>
      </c>
      <c r="D130" s="121" t="s">
        <v>802</v>
      </c>
      <c r="E130" s="121" t="s">
        <v>355</v>
      </c>
      <c r="F130" s="380">
        <v>38189</v>
      </c>
      <c r="H130" s="381"/>
      <c r="I130" s="382"/>
      <c r="J130" s="382"/>
      <c r="K130" s="382"/>
      <c r="L130" s="382"/>
      <c r="M130" s="382"/>
      <c r="N130" s="234"/>
      <c r="O130" s="234"/>
    </row>
    <row r="131" spans="1:15" x14ac:dyDescent="0.2">
      <c r="A131" s="121" t="s">
        <v>1387</v>
      </c>
      <c r="B131" s="121" t="s">
        <v>631</v>
      </c>
      <c r="C131" s="121" t="s">
        <v>632</v>
      </c>
      <c r="D131" s="121" t="s">
        <v>802</v>
      </c>
      <c r="E131" s="121" t="s">
        <v>359</v>
      </c>
      <c r="F131" s="380">
        <v>38807</v>
      </c>
      <c r="H131" s="381"/>
      <c r="I131" s="382"/>
      <c r="J131" s="382"/>
      <c r="K131" s="382"/>
      <c r="L131" s="382"/>
      <c r="M131" s="382"/>
      <c r="N131" s="234"/>
      <c r="O131" s="234"/>
    </row>
    <row r="132" spans="1:15" x14ac:dyDescent="0.2">
      <c r="A132" s="121" t="s">
        <v>1388</v>
      </c>
      <c r="B132" s="121" t="s">
        <v>1274</v>
      </c>
      <c r="C132" s="121" t="s">
        <v>1275</v>
      </c>
      <c r="D132" s="121" t="s">
        <v>802</v>
      </c>
      <c r="E132" s="121" t="s">
        <v>355</v>
      </c>
      <c r="F132" s="380">
        <v>38223</v>
      </c>
      <c r="H132" s="381"/>
      <c r="I132" s="382"/>
      <c r="J132" s="382"/>
      <c r="K132" s="382"/>
      <c r="L132" s="382"/>
      <c r="M132" s="382"/>
      <c r="N132" s="234"/>
      <c r="O132" s="234"/>
    </row>
    <row r="133" spans="1:15" x14ac:dyDescent="0.2">
      <c r="A133" s="121" t="s">
        <v>1389</v>
      </c>
      <c r="B133" s="121" t="s">
        <v>633</v>
      </c>
      <c r="C133" s="121" t="s">
        <v>1276</v>
      </c>
      <c r="D133" s="121" t="s">
        <v>802</v>
      </c>
      <c r="E133" s="121" t="s">
        <v>368</v>
      </c>
      <c r="F133" s="380">
        <v>38279</v>
      </c>
      <c r="H133" s="381"/>
      <c r="I133" s="382"/>
      <c r="J133" s="382"/>
      <c r="K133" s="382"/>
      <c r="L133" s="382"/>
      <c r="M133" s="382"/>
      <c r="N133" s="234"/>
      <c r="O133" s="234"/>
    </row>
    <row r="134" spans="1:15" x14ac:dyDescent="0.2">
      <c r="A134" s="121" t="s">
        <v>1390</v>
      </c>
      <c r="B134" s="121" t="s">
        <v>1058</v>
      </c>
      <c r="C134" s="121" t="s">
        <v>634</v>
      </c>
      <c r="D134" s="121" t="s">
        <v>802</v>
      </c>
      <c r="E134" s="121" t="s">
        <v>367</v>
      </c>
      <c r="F134" s="380">
        <v>38336</v>
      </c>
      <c r="H134" s="381"/>
      <c r="I134" s="382"/>
      <c r="J134" s="382"/>
      <c r="K134" s="382"/>
      <c r="L134" s="382"/>
      <c r="M134" s="382"/>
      <c r="N134" s="234"/>
      <c r="O134" s="234"/>
    </row>
    <row r="135" spans="1:15" x14ac:dyDescent="0.2">
      <c r="A135" s="121" t="s">
        <v>1391</v>
      </c>
      <c r="B135" s="121" t="s">
        <v>1058</v>
      </c>
      <c r="C135" s="121" t="s">
        <v>857</v>
      </c>
      <c r="D135" s="121" t="s">
        <v>802</v>
      </c>
      <c r="E135" s="121" t="s">
        <v>367</v>
      </c>
      <c r="F135" s="380">
        <v>38336</v>
      </c>
      <c r="H135" s="381"/>
      <c r="I135" s="382"/>
      <c r="J135" s="382"/>
      <c r="K135" s="382"/>
      <c r="L135" s="382"/>
      <c r="M135" s="382"/>
      <c r="N135" s="234"/>
      <c r="O135" s="234"/>
    </row>
    <row r="136" spans="1:15" x14ac:dyDescent="0.2">
      <c r="A136" s="121" t="s">
        <v>1392</v>
      </c>
      <c r="B136" s="121" t="s">
        <v>1058</v>
      </c>
      <c r="C136" s="121" t="s">
        <v>897</v>
      </c>
      <c r="D136" s="121" t="s">
        <v>802</v>
      </c>
      <c r="E136" s="121" t="s">
        <v>367</v>
      </c>
      <c r="F136" s="380">
        <v>38336</v>
      </c>
      <c r="H136" s="381"/>
      <c r="I136" s="382"/>
      <c r="J136" s="382"/>
      <c r="K136" s="382"/>
      <c r="L136" s="382"/>
      <c r="M136" s="382"/>
      <c r="N136" s="234"/>
      <c r="O136" s="234"/>
    </row>
    <row r="137" spans="1:15" x14ac:dyDescent="0.2">
      <c r="A137" s="121" t="s">
        <v>1393</v>
      </c>
      <c r="B137" s="121" t="s">
        <v>1058</v>
      </c>
      <c r="C137" s="121" t="s">
        <v>858</v>
      </c>
      <c r="D137" s="121" t="s">
        <v>802</v>
      </c>
      <c r="E137" s="121" t="s">
        <v>367</v>
      </c>
      <c r="F137" s="380">
        <v>38336</v>
      </c>
      <c r="H137" s="381"/>
      <c r="I137" s="382"/>
      <c r="J137" s="382"/>
      <c r="K137" s="382"/>
      <c r="L137" s="382"/>
      <c r="M137" s="382"/>
      <c r="N137" s="234"/>
      <c r="O137" s="234"/>
    </row>
    <row r="138" spans="1:15" x14ac:dyDescent="0.2">
      <c r="A138" s="121" t="s">
        <v>1394</v>
      </c>
      <c r="B138" s="121" t="s">
        <v>552</v>
      </c>
      <c r="C138" s="121" t="s">
        <v>759</v>
      </c>
      <c r="D138" s="121" t="s">
        <v>802</v>
      </c>
      <c r="E138" s="121" t="s">
        <v>364</v>
      </c>
      <c r="F138" s="380">
        <v>38267</v>
      </c>
      <c r="H138" s="381"/>
      <c r="I138" s="382"/>
      <c r="J138" s="382"/>
      <c r="K138" s="382"/>
      <c r="L138" s="382"/>
      <c r="M138" s="382"/>
      <c r="N138" s="234"/>
      <c r="O138" s="234"/>
    </row>
    <row r="139" spans="1:15" x14ac:dyDescent="0.2">
      <c r="A139" s="121" t="s">
        <v>1395</v>
      </c>
      <c r="B139" s="121" t="s">
        <v>1154</v>
      </c>
      <c r="C139" s="121" t="s">
        <v>1155</v>
      </c>
      <c r="D139" s="121" t="s">
        <v>802</v>
      </c>
      <c r="E139" s="121" t="s">
        <v>361</v>
      </c>
      <c r="F139" s="380">
        <v>38314</v>
      </c>
      <c r="H139" s="381"/>
      <c r="I139" s="382"/>
      <c r="J139" s="382"/>
      <c r="K139" s="382"/>
      <c r="L139" s="382"/>
      <c r="M139" s="382"/>
      <c r="N139" s="234"/>
      <c r="O139" s="234"/>
    </row>
    <row r="140" spans="1:15" x14ac:dyDescent="0.2">
      <c r="A140" s="121" t="s">
        <v>1396</v>
      </c>
      <c r="B140" s="121" t="s">
        <v>635</v>
      </c>
      <c r="C140" s="121" t="s">
        <v>636</v>
      </c>
      <c r="D140" s="121" t="s">
        <v>802</v>
      </c>
      <c r="E140" s="121" t="s">
        <v>366</v>
      </c>
      <c r="F140" s="380">
        <v>38302</v>
      </c>
      <c r="H140" s="381"/>
      <c r="I140" s="382"/>
      <c r="J140" s="382"/>
      <c r="K140" s="382"/>
      <c r="L140" s="382"/>
      <c r="M140" s="382"/>
      <c r="N140" s="234"/>
      <c r="O140" s="234"/>
    </row>
    <row r="141" spans="1:15" x14ac:dyDescent="0.2">
      <c r="A141" s="121" t="s">
        <v>1397</v>
      </c>
      <c r="B141" s="121" t="s">
        <v>898</v>
      </c>
      <c r="C141" s="121" t="s">
        <v>819</v>
      </c>
      <c r="D141" s="121" t="s">
        <v>802</v>
      </c>
      <c r="E141" s="121" t="s">
        <v>356</v>
      </c>
      <c r="F141" s="380">
        <v>38511</v>
      </c>
      <c r="H141" s="381"/>
      <c r="I141" s="382"/>
      <c r="J141" s="382"/>
      <c r="K141" s="382"/>
      <c r="L141" s="382"/>
      <c r="M141" s="382"/>
      <c r="N141" s="234"/>
      <c r="O141" s="234"/>
    </row>
    <row r="142" spans="1:15" x14ac:dyDescent="0.2">
      <c r="A142" s="121" t="s">
        <v>1398</v>
      </c>
      <c r="B142" s="121" t="s">
        <v>637</v>
      </c>
      <c r="C142" s="121" t="s">
        <v>1059</v>
      </c>
      <c r="D142" s="121" t="s">
        <v>802</v>
      </c>
      <c r="E142" s="121" t="s">
        <v>355</v>
      </c>
      <c r="F142" s="380">
        <v>38324</v>
      </c>
      <c r="H142" s="381"/>
      <c r="I142" s="382"/>
      <c r="J142" s="382"/>
      <c r="K142" s="382"/>
      <c r="L142" s="382"/>
      <c r="M142" s="382"/>
      <c r="N142" s="234"/>
      <c r="O142" s="234"/>
    </row>
    <row r="143" spans="1:15" x14ac:dyDescent="0.2">
      <c r="A143" s="121" t="s">
        <v>1399</v>
      </c>
      <c r="B143" s="121" t="s">
        <v>637</v>
      </c>
      <c r="C143" s="121" t="s">
        <v>1006</v>
      </c>
      <c r="D143" s="121" t="s">
        <v>802</v>
      </c>
      <c r="E143" s="121" t="s">
        <v>355</v>
      </c>
      <c r="F143" s="380">
        <v>38324</v>
      </c>
      <c r="H143" s="381"/>
      <c r="I143" s="382"/>
      <c r="J143" s="382"/>
      <c r="K143" s="382"/>
      <c r="L143" s="382"/>
      <c r="M143" s="382"/>
      <c r="N143" s="234"/>
      <c r="O143" s="234"/>
    </row>
    <row r="144" spans="1:15" x14ac:dyDescent="0.2">
      <c r="A144" s="121" t="s">
        <v>1400</v>
      </c>
      <c r="B144" s="121" t="s">
        <v>1007</v>
      </c>
      <c r="C144" s="121" t="s">
        <v>1008</v>
      </c>
      <c r="D144" s="121" t="s">
        <v>802</v>
      </c>
      <c r="E144" s="121" t="s">
        <v>362</v>
      </c>
      <c r="F144" s="380">
        <v>38296</v>
      </c>
      <c r="H144" s="381"/>
      <c r="I144" s="382"/>
      <c r="J144" s="382"/>
      <c r="K144" s="382"/>
      <c r="L144" s="382"/>
      <c r="M144" s="382"/>
      <c r="N144" s="234"/>
      <c r="O144" s="234"/>
    </row>
    <row r="145" spans="1:15" x14ac:dyDescent="0.2">
      <c r="A145" s="121" t="s">
        <v>1401</v>
      </c>
      <c r="B145" s="121" t="s">
        <v>108</v>
      </c>
      <c r="C145" s="121" t="s">
        <v>109</v>
      </c>
      <c r="D145" s="121" t="s">
        <v>802</v>
      </c>
      <c r="E145" s="121" t="s">
        <v>355</v>
      </c>
      <c r="F145" s="380">
        <v>39225</v>
      </c>
      <c r="H145" s="381"/>
      <c r="I145" s="382"/>
      <c r="J145" s="382"/>
      <c r="K145" s="382"/>
      <c r="L145" s="382"/>
      <c r="M145" s="382"/>
      <c r="N145" s="234"/>
      <c r="O145" s="234"/>
    </row>
    <row r="146" spans="1:15" x14ac:dyDescent="0.2">
      <c r="A146" s="121" t="s">
        <v>1402</v>
      </c>
      <c r="B146" s="121" t="s">
        <v>110</v>
      </c>
      <c r="C146" s="121" t="s">
        <v>760</v>
      </c>
      <c r="D146" s="121" t="s">
        <v>802</v>
      </c>
      <c r="E146" s="121" t="s">
        <v>365</v>
      </c>
      <c r="F146" s="380">
        <v>38335</v>
      </c>
      <c r="H146" s="381"/>
      <c r="I146" s="382"/>
      <c r="J146" s="382"/>
      <c r="K146" s="382"/>
      <c r="L146" s="382"/>
      <c r="M146" s="382"/>
      <c r="N146" s="234"/>
      <c r="O146" s="234"/>
    </row>
    <row r="147" spans="1:15" x14ac:dyDescent="0.2">
      <c r="A147" s="121" t="s">
        <v>1403</v>
      </c>
      <c r="B147" s="121" t="s">
        <v>1009</v>
      </c>
      <c r="C147" s="121" t="s">
        <v>1010</v>
      </c>
      <c r="D147" s="121" t="s">
        <v>802</v>
      </c>
      <c r="E147" s="121" t="s">
        <v>306</v>
      </c>
      <c r="F147" s="380">
        <v>38496</v>
      </c>
      <c r="H147" s="381"/>
      <c r="I147" s="382"/>
      <c r="J147" s="382"/>
      <c r="K147" s="382"/>
      <c r="L147" s="382"/>
      <c r="M147" s="382"/>
      <c r="N147" s="234"/>
      <c r="O147" s="234"/>
    </row>
    <row r="148" spans="1:15" x14ac:dyDescent="0.2">
      <c r="A148" s="121" t="s">
        <v>1404</v>
      </c>
      <c r="B148" s="121" t="s">
        <v>111</v>
      </c>
      <c r="C148" s="121" t="s">
        <v>820</v>
      </c>
      <c r="D148" s="121" t="s">
        <v>802</v>
      </c>
      <c r="E148" s="121" t="s">
        <v>356</v>
      </c>
      <c r="F148" s="380">
        <v>38380</v>
      </c>
      <c r="H148" s="381"/>
      <c r="I148" s="382"/>
      <c r="J148" s="382"/>
      <c r="K148" s="382"/>
      <c r="L148" s="382"/>
      <c r="M148" s="382"/>
      <c r="N148" s="234"/>
      <c r="O148" s="234"/>
    </row>
    <row r="149" spans="1:15" x14ac:dyDescent="0.2">
      <c r="A149" s="121" t="s">
        <v>1405</v>
      </c>
      <c r="B149" s="121" t="s">
        <v>111</v>
      </c>
      <c r="C149" s="121" t="s">
        <v>112</v>
      </c>
      <c r="D149" s="121" t="s">
        <v>802</v>
      </c>
      <c r="E149" s="121" t="s">
        <v>356</v>
      </c>
      <c r="F149" s="380">
        <v>38380</v>
      </c>
      <c r="H149" s="381"/>
      <c r="I149" s="382"/>
      <c r="J149" s="382"/>
      <c r="K149" s="382"/>
      <c r="L149" s="382"/>
      <c r="M149" s="382"/>
      <c r="N149" s="234"/>
      <c r="O149" s="234"/>
    </row>
    <row r="150" spans="1:15" x14ac:dyDescent="0.2">
      <c r="A150" s="121" t="s">
        <v>1406</v>
      </c>
      <c r="B150" s="121" t="s">
        <v>821</v>
      </c>
      <c r="C150" s="121" t="s">
        <v>113</v>
      </c>
      <c r="D150" s="121" t="s">
        <v>802</v>
      </c>
      <c r="E150" s="121" t="s">
        <v>363</v>
      </c>
      <c r="F150" s="380">
        <v>38419</v>
      </c>
      <c r="H150" s="381"/>
      <c r="I150" s="382"/>
      <c r="J150" s="382"/>
      <c r="K150" s="382"/>
      <c r="L150" s="382"/>
      <c r="M150" s="382"/>
      <c r="N150" s="234"/>
      <c r="O150" s="234"/>
    </row>
    <row r="151" spans="1:15" x14ac:dyDescent="0.2">
      <c r="A151" s="121" t="s">
        <v>1407</v>
      </c>
      <c r="B151" s="121" t="s">
        <v>951</v>
      </c>
      <c r="C151" s="121" t="s">
        <v>952</v>
      </c>
      <c r="D151" s="121" t="s">
        <v>802</v>
      </c>
      <c r="E151" s="121" t="s">
        <v>357</v>
      </c>
      <c r="F151" s="380">
        <v>38419</v>
      </c>
      <c r="H151" s="381"/>
      <c r="I151" s="382"/>
      <c r="J151" s="382"/>
      <c r="K151" s="382"/>
      <c r="L151" s="382"/>
      <c r="M151" s="382"/>
      <c r="N151" s="234"/>
      <c r="O151" s="234"/>
    </row>
    <row r="152" spans="1:15" x14ac:dyDescent="0.2">
      <c r="A152" s="121" t="s">
        <v>1408</v>
      </c>
      <c r="B152" s="121" t="s">
        <v>899</v>
      </c>
      <c r="C152" s="121" t="s">
        <v>900</v>
      </c>
      <c r="D152" s="121" t="s">
        <v>802</v>
      </c>
      <c r="E152" s="121" t="s">
        <v>356</v>
      </c>
      <c r="F152" s="380">
        <v>38401</v>
      </c>
      <c r="H152" s="381"/>
      <c r="I152" s="382"/>
      <c r="J152" s="382"/>
      <c r="K152" s="382"/>
      <c r="L152" s="382"/>
      <c r="M152" s="382"/>
      <c r="N152" s="234"/>
      <c r="O152" s="234"/>
    </row>
    <row r="153" spans="1:15" x14ac:dyDescent="0.2">
      <c r="A153" s="121" t="s">
        <v>1409</v>
      </c>
      <c r="B153" s="121" t="s">
        <v>114</v>
      </c>
      <c r="C153" s="121" t="s">
        <v>953</v>
      </c>
      <c r="D153" s="121" t="s">
        <v>802</v>
      </c>
      <c r="E153" s="121" t="s">
        <v>355</v>
      </c>
      <c r="F153" s="380">
        <v>38646</v>
      </c>
      <c r="H153" s="381"/>
      <c r="I153" s="382"/>
      <c r="J153" s="382"/>
      <c r="K153" s="382"/>
      <c r="L153" s="382"/>
      <c r="M153" s="382"/>
      <c r="N153" s="234"/>
      <c r="O153" s="234"/>
    </row>
    <row r="154" spans="1:15" x14ac:dyDescent="0.2">
      <c r="A154" s="121" t="s">
        <v>1410</v>
      </c>
      <c r="B154" s="121" t="s">
        <v>115</v>
      </c>
      <c r="C154" s="121" t="s">
        <v>761</v>
      </c>
      <c r="D154" s="121" t="s">
        <v>802</v>
      </c>
      <c r="E154" s="121" t="s">
        <v>355</v>
      </c>
      <c r="F154" s="380">
        <v>38387</v>
      </c>
      <c r="H154" s="381"/>
      <c r="I154" s="382"/>
      <c r="J154" s="382"/>
      <c r="K154" s="382"/>
      <c r="L154" s="382"/>
      <c r="M154" s="382"/>
      <c r="N154" s="234"/>
      <c r="O154" s="234"/>
    </row>
    <row r="155" spans="1:15" x14ac:dyDescent="0.2">
      <c r="A155" s="121" t="s">
        <v>1411</v>
      </c>
      <c r="B155" s="121" t="s">
        <v>1060</v>
      </c>
      <c r="C155" s="121" t="s">
        <v>762</v>
      </c>
      <c r="D155" s="121" t="s">
        <v>802</v>
      </c>
      <c r="E155" s="121" t="s">
        <v>367</v>
      </c>
      <c r="F155" s="380">
        <v>38421</v>
      </c>
      <c r="H155" s="381"/>
      <c r="I155" s="382"/>
      <c r="J155" s="382"/>
      <c r="K155" s="382"/>
      <c r="L155" s="382"/>
      <c r="M155" s="382"/>
      <c r="N155" s="234"/>
      <c r="O155" s="234"/>
    </row>
    <row r="156" spans="1:15" x14ac:dyDescent="0.2">
      <c r="A156" s="121" t="s">
        <v>1412</v>
      </c>
      <c r="B156" s="121" t="s">
        <v>1277</v>
      </c>
      <c r="C156" s="121" t="s">
        <v>116</v>
      </c>
      <c r="D156" s="121" t="s">
        <v>802</v>
      </c>
      <c r="E156" s="121" t="s">
        <v>369</v>
      </c>
      <c r="F156" s="380">
        <v>38399</v>
      </c>
      <c r="H156" s="381"/>
      <c r="I156" s="382"/>
      <c r="J156" s="382"/>
      <c r="K156" s="382"/>
      <c r="L156" s="382"/>
      <c r="M156" s="382"/>
      <c r="N156" s="234"/>
      <c r="O156" s="234"/>
    </row>
    <row r="157" spans="1:15" x14ac:dyDescent="0.2">
      <c r="A157" s="121" t="s">
        <v>1413</v>
      </c>
      <c r="B157" s="121" t="s">
        <v>1277</v>
      </c>
      <c r="C157" s="121" t="s">
        <v>117</v>
      </c>
      <c r="D157" s="121" t="s">
        <v>802</v>
      </c>
      <c r="E157" s="121" t="s">
        <v>369</v>
      </c>
      <c r="F157" s="380">
        <v>38399</v>
      </c>
      <c r="H157" s="381"/>
      <c r="I157" s="382"/>
      <c r="J157" s="382"/>
      <c r="K157" s="382"/>
      <c r="L157" s="382"/>
      <c r="M157" s="382"/>
      <c r="N157" s="234"/>
      <c r="O157" s="234"/>
    </row>
    <row r="158" spans="1:15" x14ac:dyDescent="0.2">
      <c r="A158" s="121" t="s">
        <v>1414</v>
      </c>
      <c r="B158" s="121" t="s">
        <v>1277</v>
      </c>
      <c r="C158" s="121" t="s">
        <v>118</v>
      </c>
      <c r="D158" s="121" t="s">
        <v>802</v>
      </c>
      <c r="E158" s="121" t="s">
        <v>369</v>
      </c>
      <c r="F158" s="380">
        <v>38399</v>
      </c>
      <c r="H158" s="381"/>
      <c r="I158" s="382"/>
      <c r="J158" s="382"/>
      <c r="K158" s="382"/>
      <c r="L158" s="382"/>
      <c r="M158" s="382"/>
      <c r="N158" s="234"/>
      <c r="O158" s="234"/>
    </row>
    <row r="159" spans="1:15" x14ac:dyDescent="0.2">
      <c r="A159" s="121" t="s">
        <v>1415</v>
      </c>
      <c r="B159" s="121" t="s">
        <v>548</v>
      </c>
      <c r="C159" s="121" t="s">
        <v>549</v>
      </c>
      <c r="D159" s="121" t="s">
        <v>802</v>
      </c>
      <c r="E159" s="121" t="s">
        <v>357</v>
      </c>
      <c r="F159" s="380">
        <v>38450</v>
      </c>
      <c r="H159" s="381"/>
      <c r="I159" s="382"/>
      <c r="J159" s="382"/>
      <c r="K159" s="382"/>
      <c r="L159" s="382"/>
      <c r="M159" s="382"/>
      <c r="N159" s="234"/>
      <c r="O159" s="234"/>
    </row>
    <row r="160" spans="1:15" x14ac:dyDescent="0.2">
      <c r="A160" s="121" t="s">
        <v>1416</v>
      </c>
      <c r="B160" s="121" t="s">
        <v>119</v>
      </c>
      <c r="C160" s="121" t="s">
        <v>1011</v>
      </c>
      <c r="D160" s="121" t="s">
        <v>802</v>
      </c>
      <c r="E160" s="121" t="s">
        <v>363</v>
      </c>
      <c r="F160" s="380">
        <v>38435</v>
      </c>
      <c r="H160" s="381"/>
      <c r="I160" s="382"/>
      <c r="J160" s="382"/>
      <c r="K160" s="382"/>
      <c r="L160" s="382"/>
      <c r="M160" s="382"/>
      <c r="N160" s="234"/>
      <c r="O160" s="234"/>
    </row>
    <row r="161" spans="1:15" x14ac:dyDescent="0.2">
      <c r="A161" s="121" t="s">
        <v>1417</v>
      </c>
      <c r="B161" s="121" t="s">
        <v>120</v>
      </c>
      <c r="C161" s="121" t="s">
        <v>954</v>
      </c>
      <c r="D161" s="121" t="s">
        <v>802</v>
      </c>
      <c r="E161" s="121" t="s">
        <v>355</v>
      </c>
      <c r="F161" s="380">
        <v>38420</v>
      </c>
      <c r="H161" s="381"/>
      <c r="I161" s="382"/>
      <c r="J161" s="382"/>
      <c r="K161" s="382"/>
      <c r="L161" s="382"/>
      <c r="M161" s="382"/>
      <c r="N161" s="234"/>
      <c r="O161" s="234"/>
    </row>
    <row r="162" spans="1:15" x14ac:dyDescent="0.2">
      <c r="A162" s="121" t="s">
        <v>1418</v>
      </c>
      <c r="B162" s="121" t="s">
        <v>121</v>
      </c>
      <c r="C162" s="121" t="s">
        <v>822</v>
      </c>
      <c r="D162" s="121" t="s">
        <v>802</v>
      </c>
      <c r="E162" s="121" t="s">
        <v>363</v>
      </c>
      <c r="F162" s="380">
        <v>38476</v>
      </c>
      <c r="H162" s="381"/>
      <c r="I162" s="382"/>
      <c r="J162" s="382"/>
      <c r="K162" s="382"/>
      <c r="L162" s="382"/>
      <c r="M162" s="382"/>
      <c r="N162" s="234"/>
      <c r="O162" s="234"/>
    </row>
    <row r="163" spans="1:15" x14ac:dyDescent="0.2">
      <c r="A163" s="121" t="s">
        <v>1419</v>
      </c>
      <c r="B163" s="121" t="s">
        <v>122</v>
      </c>
      <c r="C163" s="121" t="s">
        <v>955</v>
      </c>
      <c r="D163" s="121" t="s">
        <v>802</v>
      </c>
      <c r="E163" s="121" t="s">
        <v>356</v>
      </c>
      <c r="F163" s="380">
        <v>38468</v>
      </c>
      <c r="H163" s="381"/>
      <c r="I163" s="382"/>
      <c r="J163" s="382"/>
      <c r="K163" s="382"/>
      <c r="L163" s="382"/>
      <c r="M163" s="382"/>
      <c r="N163" s="234"/>
      <c r="O163" s="234"/>
    </row>
    <row r="164" spans="1:15" x14ac:dyDescent="0.2">
      <c r="A164" s="121" t="s">
        <v>1420</v>
      </c>
      <c r="B164" s="121" t="s">
        <v>123</v>
      </c>
      <c r="C164" s="121" t="s">
        <v>124</v>
      </c>
      <c r="D164" s="121" t="s">
        <v>802</v>
      </c>
      <c r="E164" s="121" t="s">
        <v>362</v>
      </c>
      <c r="F164" s="380">
        <v>38518</v>
      </c>
      <c r="H164" s="381"/>
      <c r="I164" s="382"/>
      <c r="J164" s="382"/>
      <c r="K164" s="382"/>
      <c r="L164" s="382"/>
      <c r="M164" s="382"/>
      <c r="N164" s="234"/>
      <c r="O164" s="234"/>
    </row>
    <row r="165" spans="1:15" x14ac:dyDescent="0.2">
      <c r="A165" s="121" t="s">
        <v>1421</v>
      </c>
      <c r="B165" s="121" t="s">
        <v>1278</v>
      </c>
      <c r="C165" s="121" t="s">
        <v>1279</v>
      </c>
      <c r="D165" s="121" t="s">
        <v>802</v>
      </c>
      <c r="E165" s="121" t="s">
        <v>363</v>
      </c>
      <c r="F165" s="380">
        <v>38532</v>
      </c>
      <c r="H165" s="381"/>
      <c r="I165" s="382"/>
      <c r="J165" s="382"/>
      <c r="K165" s="382"/>
      <c r="L165" s="382"/>
      <c r="M165" s="382"/>
      <c r="N165" s="234"/>
      <c r="O165" s="234"/>
    </row>
    <row r="166" spans="1:15" x14ac:dyDescent="0.2">
      <c r="A166" s="121" t="s">
        <v>1422</v>
      </c>
      <c r="B166" s="121" t="s">
        <v>859</v>
      </c>
      <c r="C166" s="121" t="s">
        <v>125</v>
      </c>
      <c r="D166" s="121" t="s">
        <v>802</v>
      </c>
      <c r="E166" s="121" t="s">
        <v>356</v>
      </c>
      <c r="F166" s="380">
        <v>38484</v>
      </c>
      <c r="H166" s="381"/>
      <c r="I166" s="382"/>
      <c r="J166" s="382"/>
      <c r="K166" s="382"/>
      <c r="L166" s="382"/>
      <c r="M166" s="382"/>
      <c r="N166" s="234"/>
      <c r="O166" s="234"/>
    </row>
    <row r="167" spans="1:15" x14ac:dyDescent="0.2">
      <c r="A167" s="121" t="s">
        <v>1423</v>
      </c>
      <c r="B167" s="121" t="s">
        <v>1012</v>
      </c>
      <c r="C167" s="121" t="s">
        <v>126</v>
      </c>
      <c r="D167" s="121" t="s">
        <v>802</v>
      </c>
      <c r="E167" s="121" t="s">
        <v>369</v>
      </c>
      <c r="F167" s="380">
        <v>38524</v>
      </c>
      <c r="H167" s="381"/>
      <c r="I167" s="382"/>
      <c r="J167" s="382"/>
      <c r="K167" s="382"/>
      <c r="L167" s="382"/>
      <c r="M167" s="382"/>
      <c r="N167" s="234"/>
      <c r="O167" s="234"/>
    </row>
    <row r="168" spans="1:15" x14ac:dyDescent="0.2">
      <c r="A168" s="121" t="s">
        <v>1424</v>
      </c>
      <c r="B168" s="121" t="s">
        <v>127</v>
      </c>
      <c r="C168" s="121" t="s">
        <v>901</v>
      </c>
      <c r="D168" s="121" t="s">
        <v>802</v>
      </c>
      <c r="E168" s="121" t="s">
        <v>356</v>
      </c>
      <c r="F168" s="380">
        <v>38989</v>
      </c>
      <c r="H168" s="381"/>
      <c r="I168" s="382"/>
      <c r="J168" s="382"/>
      <c r="K168" s="382"/>
      <c r="L168" s="382"/>
      <c r="M168" s="382"/>
      <c r="N168" s="234"/>
      <c r="O168" s="234"/>
    </row>
    <row r="169" spans="1:15" x14ac:dyDescent="0.2">
      <c r="A169" s="121" t="s">
        <v>1425</v>
      </c>
      <c r="B169" s="121" t="s">
        <v>1280</v>
      </c>
      <c r="C169" s="121" t="s">
        <v>128</v>
      </c>
      <c r="D169" s="121" t="s">
        <v>802</v>
      </c>
      <c r="E169" s="121" t="s">
        <v>355</v>
      </c>
      <c r="F169" s="380">
        <v>38701</v>
      </c>
      <c r="H169" s="381"/>
      <c r="I169" s="382"/>
      <c r="J169" s="382"/>
      <c r="K169" s="382"/>
      <c r="L169" s="382"/>
      <c r="M169" s="382"/>
      <c r="N169" s="234"/>
      <c r="O169" s="234"/>
    </row>
    <row r="170" spans="1:15" x14ac:dyDescent="0.2">
      <c r="A170" s="121" t="s">
        <v>1426</v>
      </c>
      <c r="B170" s="121" t="s">
        <v>129</v>
      </c>
      <c r="C170" s="121" t="s">
        <v>130</v>
      </c>
      <c r="D170" s="121" t="s">
        <v>802</v>
      </c>
      <c r="E170" s="121" t="s">
        <v>356</v>
      </c>
      <c r="F170" s="380">
        <v>38772</v>
      </c>
      <c r="H170" s="381"/>
      <c r="I170" s="382"/>
      <c r="J170" s="382"/>
      <c r="K170" s="382"/>
      <c r="L170" s="382"/>
      <c r="M170" s="382"/>
      <c r="N170" s="234"/>
      <c r="O170" s="234"/>
    </row>
    <row r="171" spans="1:15" x14ac:dyDescent="0.2">
      <c r="A171" s="121" t="s">
        <v>1427</v>
      </c>
      <c r="B171" s="121" t="s">
        <v>131</v>
      </c>
      <c r="C171" s="121" t="s">
        <v>956</v>
      </c>
      <c r="D171" s="121" t="s">
        <v>802</v>
      </c>
      <c r="E171" s="121" t="s">
        <v>363</v>
      </c>
      <c r="F171" s="380">
        <v>38511</v>
      </c>
      <c r="H171" s="381"/>
      <c r="I171" s="382"/>
      <c r="J171" s="382"/>
      <c r="K171" s="382"/>
      <c r="L171" s="382"/>
      <c r="M171" s="382"/>
      <c r="N171" s="234"/>
      <c r="O171" s="234"/>
    </row>
    <row r="172" spans="1:15" x14ac:dyDescent="0.2">
      <c r="A172" s="121" t="s">
        <v>1428</v>
      </c>
      <c r="B172" s="121" t="s">
        <v>132</v>
      </c>
      <c r="C172" s="121" t="s">
        <v>133</v>
      </c>
      <c r="D172" s="121" t="s">
        <v>802</v>
      </c>
      <c r="E172" s="121" t="s">
        <v>306</v>
      </c>
      <c r="F172" s="380">
        <v>38545</v>
      </c>
      <c r="H172" s="381"/>
      <c r="I172" s="382"/>
      <c r="J172" s="382"/>
      <c r="K172" s="382"/>
      <c r="L172" s="382"/>
      <c r="M172" s="382"/>
      <c r="N172" s="234"/>
      <c r="O172" s="234"/>
    </row>
    <row r="173" spans="1:15" x14ac:dyDescent="0.2">
      <c r="A173" s="121" t="s">
        <v>1429</v>
      </c>
      <c r="B173" s="121" t="s">
        <v>676</v>
      </c>
      <c r="C173" s="121" t="s">
        <v>684</v>
      </c>
      <c r="D173" s="121" t="s">
        <v>802</v>
      </c>
      <c r="E173" s="121" t="s">
        <v>361</v>
      </c>
      <c r="F173" s="380">
        <v>39770</v>
      </c>
      <c r="H173" s="381"/>
      <c r="I173" s="382"/>
      <c r="J173" s="382"/>
      <c r="K173" s="382"/>
      <c r="L173" s="382"/>
      <c r="M173" s="382"/>
      <c r="N173" s="234"/>
      <c r="O173" s="234"/>
    </row>
    <row r="174" spans="1:15" x14ac:dyDescent="0.2">
      <c r="A174" s="121" t="s">
        <v>1430</v>
      </c>
      <c r="B174" s="121" t="s">
        <v>134</v>
      </c>
      <c r="C174" s="121" t="s">
        <v>135</v>
      </c>
      <c r="D174" s="121" t="s">
        <v>802</v>
      </c>
      <c r="E174" s="121" t="s">
        <v>356</v>
      </c>
      <c r="F174" s="380">
        <v>38699</v>
      </c>
      <c r="H174" s="381"/>
      <c r="I174" s="382"/>
      <c r="J174" s="382"/>
      <c r="K174" s="382"/>
      <c r="L174" s="382"/>
      <c r="M174" s="382"/>
      <c r="N174" s="234"/>
      <c r="O174" s="234"/>
    </row>
    <row r="175" spans="1:15" x14ac:dyDescent="0.2">
      <c r="A175" s="121" t="s">
        <v>1431</v>
      </c>
      <c r="B175" s="121" t="s">
        <v>136</v>
      </c>
      <c r="C175" s="121" t="s">
        <v>146</v>
      </c>
      <c r="D175" s="121" t="s">
        <v>802</v>
      </c>
      <c r="E175" s="121" t="s">
        <v>367</v>
      </c>
      <c r="F175" s="380">
        <v>38631</v>
      </c>
      <c r="H175" s="381"/>
      <c r="I175" s="382"/>
      <c r="J175" s="382"/>
      <c r="K175" s="382"/>
      <c r="L175" s="382"/>
      <c r="M175" s="382"/>
      <c r="N175" s="234"/>
      <c r="O175" s="234"/>
    </row>
    <row r="176" spans="1:15" x14ac:dyDescent="0.2">
      <c r="A176" s="121" t="s">
        <v>1432</v>
      </c>
      <c r="B176" s="121" t="s">
        <v>1281</v>
      </c>
      <c r="C176" s="121" t="s">
        <v>1156</v>
      </c>
      <c r="D176" s="121" t="s">
        <v>802</v>
      </c>
      <c r="E176" s="121" t="s">
        <v>368</v>
      </c>
      <c r="F176" s="380">
        <v>38665</v>
      </c>
      <c r="H176" s="381"/>
      <c r="I176" s="382"/>
      <c r="J176" s="382"/>
      <c r="K176" s="382"/>
      <c r="L176" s="382"/>
      <c r="M176" s="382"/>
      <c r="N176" s="234"/>
      <c r="O176" s="234"/>
    </row>
    <row r="177" spans="1:15" x14ac:dyDescent="0.2">
      <c r="A177" s="121" t="s">
        <v>1433</v>
      </c>
      <c r="B177" s="121" t="s">
        <v>1282</v>
      </c>
      <c r="C177" s="121" t="s">
        <v>1283</v>
      </c>
      <c r="D177" s="121" t="s">
        <v>802</v>
      </c>
      <c r="E177" s="121" t="s">
        <v>363</v>
      </c>
      <c r="F177" s="380">
        <v>38581</v>
      </c>
      <c r="H177" s="381"/>
      <c r="I177" s="382"/>
      <c r="J177" s="382"/>
      <c r="K177" s="382"/>
      <c r="L177" s="382"/>
      <c r="M177" s="382"/>
      <c r="N177" s="234"/>
      <c r="O177" s="234"/>
    </row>
    <row r="178" spans="1:15" x14ac:dyDescent="0.2">
      <c r="A178" s="121" t="s">
        <v>1434</v>
      </c>
      <c r="B178" s="121" t="s">
        <v>528</v>
      </c>
      <c r="C178" s="121" t="s">
        <v>763</v>
      </c>
      <c r="D178" s="121" t="s">
        <v>802</v>
      </c>
      <c r="E178" s="121" t="s">
        <v>306</v>
      </c>
      <c r="F178" s="380">
        <v>38611</v>
      </c>
      <c r="H178" s="381"/>
      <c r="I178" s="382"/>
      <c r="J178" s="382"/>
      <c r="K178" s="382"/>
      <c r="L178" s="382"/>
      <c r="M178" s="382"/>
      <c r="N178" s="234"/>
      <c r="O178" s="234"/>
    </row>
    <row r="179" spans="1:15" x14ac:dyDescent="0.2">
      <c r="A179" s="121" t="s">
        <v>1435</v>
      </c>
      <c r="B179" s="121" t="s">
        <v>546</v>
      </c>
      <c r="C179" s="121" t="s">
        <v>547</v>
      </c>
      <c r="D179" s="121" t="s">
        <v>802</v>
      </c>
      <c r="E179" s="121" t="s">
        <v>367</v>
      </c>
      <c r="F179" s="380">
        <v>38624</v>
      </c>
      <c r="H179" s="381"/>
      <c r="I179" s="382"/>
      <c r="J179" s="382"/>
      <c r="K179" s="382"/>
      <c r="L179" s="382"/>
      <c r="M179" s="382"/>
      <c r="N179" s="234"/>
      <c r="O179" s="234"/>
    </row>
    <row r="180" spans="1:15" x14ac:dyDescent="0.2">
      <c r="A180" s="121" t="s">
        <v>1436</v>
      </c>
      <c r="B180" s="121" t="s">
        <v>147</v>
      </c>
      <c r="C180" s="121" t="s">
        <v>764</v>
      </c>
      <c r="D180" s="121" t="s">
        <v>802</v>
      </c>
      <c r="E180" s="121" t="s">
        <v>356</v>
      </c>
      <c r="F180" s="380">
        <v>38623</v>
      </c>
      <c r="H180" s="381"/>
      <c r="I180" s="382"/>
      <c r="J180" s="382"/>
      <c r="K180" s="382"/>
      <c r="L180" s="382"/>
      <c r="M180" s="382"/>
      <c r="N180" s="234"/>
      <c r="O180" s="234"/>
    </row>
    <row r="181" spans="1:15" x14ac:dyDescent="0.2">
      <c r="A181" s="121" t="s">
        <v>1437</v>
      </c>
      <c r="B181" s="121" t="s">
        <v>1284</v>
      </c>
      <c r="C181" s="121" t="s">
        <v>765</v>
      </c>
      <c r="D181" s="121" t="s">
        <v>802</v>
      </c>
      <c r="E181" s="121" t="s">
        <v>355</v>
      </c>
      <c r="F181" s="380">
        <v>38819</v>
      </c>
      <c r="H181" s="381"/>
      <c r="I181" s="382"/>
      <c r="J181" s="382"/>
      <c r="K181" s="382"/>
      <c r="L181" s="382"/>
      <c r="M181" s="382"/>
      <c r="N181" s="234"/>
      <c r="O181" s="234"/>
    </row>
    <row r="182" spans="1:15" x14ac:dyDescent="0.2">
      <c r="A182" s="121" t="s">
        <v>1438</v>
      </c>
      <c r="B182" s="121" t="s">
        <v>860</v>
      </c>
      <c r="C182" s="121" t="s">
        <v>861</v>
      </c>
      <c r="D182" s="121" t="s">
        <v>802</v>
      </c>
      <c r="E182" s="121" t="s">
        <v>367</v>
      </c>
      <c r="F182" s="380">
        <v>38646</v>
      </c>
      <c r="H182" s="381"/>
      <c r="I182" s="382"/>
      <c r="J182" s="382"/>
      <c r="K182" s="382"/>
      <c r="L182" s="382"/>
      <c r="M182" s="382"/>
      <c r="N182" s="234"/>
      <c r="O182" s="234"/>
    </row>
    <row r="183" spans="1:15" x14ac:dyDescent="0.2">
      <c r="A183" s="121" t="s">
        <v>1439</v>
      </c>
      <c r="B183" s="121" t="s">
        <v>766</v>
      </c>
      <c r="C183" s="121" t="s">
        <v>148</v>
      </c>
      <c r="D183" s="121" t="s">
        <v>802</v>
      </c>
      <c r="E183" s="121" t="s">
        <v>366</v>
      </c>
      <c r="F183" s="380">
        <v>38882</v>
      </c>
      <c r="H183" s="381"/>
      <c r="I183" s="382"/>
      <c r="J183" s="382"/>
      <c r="K183" s="382"/>
      <c r="L183" s="382"/>
      <c r="M183" s="382"/>
      <c r="N183" s="234"/>
      <c r="O183" s="234"/>
    </row>
    <row r="184" spans="1:15" x14ac:dyDescent="0.2">
      <c r="A184" s="121" t="s">
        <v>1440</v>
      </c>
      <c r="B184" s="121" t="s">
        <v>767</v>
      </c>
      <c r="C184" s="121" t="s">
        <v>768</v>
      </c>
      <c r="D184" s="121" t="s">
        <v>802</v>
      </c>
      <c r="E184" s="121" t="s">
        <v>355</v>
      </c>
      <c r="F184" s="380">
        <v>40393</v>
      </c>
      <c r="H184" s="381"/>
      <c r="I184" s="382"/>
      <c r="J184" s="382"/>
      <c r="K184" s="382"/>
      <c r="L184" s="382"/>
      <c r="M184" s="382"/>
      <c r="N184" s="234"/>
      <c r="O184" s="234"/>
    </row>
    <row r="185" spans="1:15" x14ac:dyDescent="0.2">
      <c r="A185" s="121" t="s">
        <v>1441</v>
      </c>
      <c r="B185" s="121" t="s">
        <v>149</v>
      </c>
      <c r="C185" s="121" t="s">
        <v>769</v>
      </c>
      <c r="D185" s="121" t="s">
        <v>802</v>
      </c>
      <c r="E185" s="121" t="s">
        <v>356</v>
      </c>
      <c r="F185" s="380">
        <v>38667</v>
      </c>
      <c r="H185" s="381"/>
      <c r="I185" s="382"/>
      <c r="J185" s="382"/>
      <c r="K185" s="382"/>
      <c r="L185" s="382"/>
      <c r="M185" s="382"/>
      <c r="N185" s="234"/>
      <c r="O185" s="234"/>
    </row>
    <row r="186" spans="1:15" x14ac:dyDescent="0.2">
      <c r="A186" s="121" t="s">
        <v>1442</v>
      </c>
      <c r="B186" s="121" t="s">
        <v>150</v>
      </c>
      <c r="C186" s="121" t="s">
        <v>770</v>
      </c>
      <c r="D186" s="121" t="s">
        <v>802</v>
      </c>
      <c r="E186" s="121" t="s">
        <v>367</v>
      </c>
      <c r="F186" s="380">
        <v>38701</v>
      </c>
      <c r="H186" s="381"/>
      <c r="I186" s="382"/>
      <c r="J186" s="382"/>
      <c r="K186" s="382"/>
      <c r="L186" s="382"/>
      <c r="M186" s="382"/>
      <c r="N186" s="234"/>
      <c r="O186" s="234"/>
    </row>
    <row r="187" spans="1:15" x14ac:dyDescent="0.2">
      <c r="A187" s="121" t="s">
        <v>1443</v>
      </c>
      <c r="B187" s="121" t="s">
        <v>150</v>
      </c>
      <c r="C187" s="121" t="s">
        <v>1157</v>
      </c>
      <c r="D187" s="121" t="s">
        <v>802</v>
      </c>
      <c r="E187" s="121" t="s">
        <v>367</v>
      </c>
      <c r="F187" s="380">
        <v>38785</v>
      </c>
      <c r="H187" s="381"/>
      <c r="I187" s="382"/>
      <c r="J187" s="382"/>
      <c r="K187" s="382"/>
      <c r="L187" s="382"/>
      <c r="M187" s="382"/>
      <c r="N187" s="234"/>
      <c r="O187" s="234"/>
    </row>
    <row r="188" spans="1:15" x14ac:dyDescent="0.2">
      <c r="A188" s="121" t="s">
        <v>1444</v>
      </c>
      <c r="B188" s="121" t="s">
        <v>151</v>
      </c>
      <c r="C188" s="121" t="s">
        <v>862</v>
      </c>
      <c r="D188" s="121" t="s">
        <v>802</v>
      </c>
      <c r="E188" s="121" t="s">
        <v>367</v>
      </c>
      <c r="F188" s="380">
        <v>38735</v>
      </c>
      <c r="H188" s="381"/>
      <c r="I188" s="382"/>
      <c r="J188" s="382"/>
      <c r="K188" s="382"/>
      <c r="L188" s="382"/>
      <c r="M188" s="382"/>
      <c r="N188" s="234"/>
      <c r="O188" s="234"/>
    </row>
    <row r="189" spans="1:15" x14ac:dyDescent="0.2">
      <c r="A189" s="121" t="s">
        <v>1445</v>
      </c>
      <c r="B189" s="121" t="s">
        <v>152</v>
      </c>
      <c r="C189" s="121" t="s">
        <v>153</v>
      </c>
      <c r="D189" s="121" t="s">
        <v>802</v>
      </c>
      <c r="E189" s="121" t="s">
        <v>356</v>
      </c>
      <c r="F189" s="380">
        <v>38812</v>
      </c>
      <c r="H189" s="381"/>
      <c r="I189" s="382"/>
      <c r="J189" s="382"/>
      <c r="K189" s="382"/>
      <c r="L189" s="382"/>
      <c r="M189" s="382"/>
      <c r="N189" s="234"/>
      <c r="O189" s="234"/>
    </row>
    <row r="190" spans="1:15" x14ac:dyDescent="0.2">
      <c r="A190" s="121" t="s">
        <v>1446</v>
      </c>
      <c r="B190" s="121" t="s">
        <v>1013</v>
      </c>
      <c r="C190" s="121" t="s">
        <v>902</v>
      </c>
      <c r="D190" s="121" t="s">
        <v>154</v>
      </c>
      <c r="E190" s="121" t="s">
        <v>154</v>
      </c>
      <c r="F190" s="380">
        <v>38764</v>
      </c>
      <c r="H190" s="381"/>
      <c r="I190" s="382"/>
      <c r="J190" s="382"/>
      <c r="K190" s="382"/>
      <c r="L190" s="382"/>
      <c r="M190" s="382"/>
      <c r="N190" s="234"/>
      <c r="O190" s="234"/>
    </row>
    <row r="191" spans="1:15" x14ac:dyDescent="0.2">
      <c r="A191" s="121" t="s">
        <v>1447</v>
      </c>
      <c r="B191" s="121" t="s">
        <v>155</v>
      </c>
      <c r="C191" s="121" t="s">
        <v>1014</v>
      </c>
      <c r="D191" s="121" t="s">
        <v>802</v>
      </c>
      <c r="E191" s="121" t="s">
        <v>357</v>
      </c>
      <c r="F191" s="380">
        <v>38804</v>
      </c>
      <c r="H191" s="381"/>
      <c r="I191" s="382"/>
      <c r="J191" s="382"/>
      <c r="K191" s="382"/>
      <c r="L191" s="382"/>
      <c r="M191" s="382"/>
      <c r="N191" s="234"/>
      <c r="O191" s="234"/>
    </row>
    <row r="192" spans="1:15" x14ac:dyDescent="0.2">
      <c r="A192" s="121" t="s">
        <v>1448</v>
      </c>
      <c r="B192" s="121" t="s">
        <v>156</v>
      </c>
      <c r="C192" s="121" t="s">
        <v>771</v>
      </c>
      <c r="D192" s="121" t="s">
        <v>802</v>
      </c>
      <c r="E192" s="121" t="s">
        <v>363</v>
      </c>
      <c r="F192" s="380">
        <v>38776</v>
      </c>
      <c r="H192" s="381"/>
      <c r="I192" s="382"/>
      <c r="J192" s="382"/>
      <c r="K192" s="382"/>
      <c r="L192" s="382"/>
      <c r="M192" s="382"/>
      <c r="N192" s="234"/>
      <c r="O192" s="234"/>
    </row>
    <row r="193" spans="1:15" x14ac:dyDescent="0.2">
      <c r="A193" s="121" t="s">
        <v>1449</v>
      </c>
      <c r="B193" s="121" t="s">
        <v>157</v>
      </c>
      <c r="C193" s="121" t="s">
        <v>1015</v>
      </c>
      <c r="D193" s="121" t="s">
        <v>370</v>
      </c>
      <c r="E193" s="121" t="s">
        <v>370</v>
      </c>
      <c r="F193" s="380">
        <v>38777</v>
      </c>
      <c r="H193" s="381"/>
      <c r="I193" s="382"/>
      <c r="J193" s="382"/>
      <c r="K193" s="382"/>
      <c r="L193" s="382"/>
      <c r="M193" s="382"/>
      <c r="N193" s="234"/>
      <c r="O193" s="234"/>
    </row>
    <row r="194" spans="1:15" x14ac:dyDescent="0.2">
      <c r="A194" s="121" t="s">
        <v>1450</v>
      </c>
      <c r="B194" s="121" t="s">
        <v>544</v>
      </c>
      <c r="C194" s="121" t="s">
        <v>545</v>
      </c>
      <c r="D194" s="121" t="s">
        <v>802</v>
      </c>
      <c r="E194" s="121" t="s">
        <v>356</v>
      </c>
      <c r="F194" s="380">
        <v>38784</v>
      </c>
      <c r="H194" s="381"/>
      <c r="I194" s="382"/>
      <c r="J194" s="382"/>
      <c r="K194" s="382"/>
      <c r="L194" s="382"/>
      <c r="M194" s="382"/>
      <c r="N194" s="234"/>
      <c r="O194" s="234"/>
    </row>
    <row r="195" spans="1:15" x14ac:dyDescent="0.2">
      <c r="A195" s="121" t="s">
        <v>1451</v>
      </c>
      <c r="B195" s="121" t="s">
        <v>1158</v>
      </c>
      <c r="C195" s="121" t="s">
        <v>158</v>
      </c>
      <c r="D195" s="121" t="s">
        <v>802</v>
      </c>
      <c r="E195" s="121" t="s">
        <v>356</v>
      </c>
      <c r="F195" s="380">
        <v>38848</v>
      </c>
      <c r="H195" s="381"/>
      <c r="I195" s="382"/>
      <c r="J195" s="382"/>
      <c r="K195" s="382"/>
      <c r="L195" s="382"/>
      <c r="M195" s="382"/>
      <c r="N195" s="234"/>
      <c r="O195" s="234"/>
    </row>
    <row r="196" spans="1:15" x14ac:dyDescent="0.2">
      <c r="A196" s="121" t="s">
        <v>1452</v>
      </c>
      <c r="B196" s="121" t="s">
        <v>9</v>
      </c>
      <c r="C196" s="121" t="s">
        <v>823</v>
      </c>
      <c r="D196" s="121" t="s">
        <v>802</v>
      </c>
      <c r="E196" s="121" t="s">
        <v>365</v>
      </c>
      <c r="F196" s="380">
        <v>38842</v>
      </c>
      <c r="H196" s="381"/>
      <c r="I196" s="382"/>
      <c r="J196" s="382"/>
      <c r="K196" s="382"/>
      <c r="L196" s="382"/>
      <c r="M196" s="382"/>
      <c r="N196" s="234"/>
      <c r="O196" s="234"/>
    </row>
    <row r="197" spans="1:15" x14ac:dyDescent="0.2">
      <c r="A197" s="121" t="s">
        <v>1453</v>
      </c>
      <c r="B197" s="121" t="s">
        <v>957</v>
      </c>
      <c r="C197" s="121" t="s">
        <v>772</v>
      </c>
      <c r="D197" s="121" t="s">
        <v>802</v>
      </c>
      <c r="E197" s="121" t="s">
        <v>355</v>
      </c>
      <c r="F197" s="380">
        <v>38924</v>
      </c>
      <c r="H197" s="381"/>
      <c r="I197" s="382"/>
      <c r="J197" s="382"/>
      <c r="K197" s="382"/>
      <c r="L197" s="382"/>
      <c r="M197" s="382"/>
      <c r="N197" s="234"/>
      <c r="O197" s="234"/>
    </row>
    <row r="198" spans="1:15" x14ac:dyDescent="0.2">
      <c r="A198" s="121" t="s">
        <v>1454</v>
      </c>
      <c r="B198" s="121" t="s">
        <v>159</v>
      </c>
      <c r="C198" s="121" t="s">
        <v>1099</v>
      </c>
      <c r="D198" s="121" t="s">
        <v>802</v>
      </c>
      <c r="E198" s="121" t="s">
        <v>355</v>
      </c>
      <c r="F198" s="380">
        <v>38931</v>
      </c>
      <c r="H198" s="381"/>
      <c r="I198" s="382"/>
      <c r="J198" s="382"/>
      <c r="K198" s="382"/>
      <c r="L198" s="382"/>
      <c r="M198" s="382"/>
      <c r="N198" s="234"/>
      <c r="O198" s="234"/>
    </row>
    <row r="199" spans="1:15" x14ac:dyDescent="0.2">
      <c r="A199" s="121" t="s">
        <v>1455</v>
      </c>
      <c r="B199" s="121" t="s">
        <v>159</v>
      </c>
      <c r="C199" s="121" t="s">
        <v>1100</v>
      </c>
      <c r="D199" s="121" t="s">
        <v>802</v>
      </c>
      <c r="E199" s="121" t="s">
        <v>355</v>
      </c>
      <c r="F199" s="380">
        <v>38931</v>
      </c>
      <c r="H199" s="381"/>
      <c r="I199" s="382"/>
      <c r="J199" s="382"/>
      <c r="K199" s="382"/>
      <c r="L199" s="382"/>
      <c r="M199" s="382"/>
      <c r="N199" s="234"/>
      <c r="O199" s="234"/>
    </row>
    <row r="200" spans="1:15" x14ac:dyDescent="0.2">
      <c r="A200" s="121" t="s">
        <v>1456</v>
      </c>
      <c r="B200" s="121" t="s">
        <v>677</v>
      </c>
      <c r="C200" s="121" t="s">
        <v>685</v>
      </c>
      <c r="D200" s="121" t="s">
        <v>802</v>
      </c>
      <c r="E200" s="121" t="s">
        <v>355</v>
      </c>
      <c r="F200" s="380">
        <v>38826</v>
      </c>
      <c r="H200" s="381"/>
      <c r="I200" s="382"/>
      <c r="J200" s="382"/>
      <c r="K200" s="382"/>
      <c r="L200" s="382"/>
      <c r="M200" s="382"/>
      <c r="N200" s="234"/>
      <c r="O200" s="234"/>
    </row>
    <row r="201" spans="1:15" x14ac:dyDescent="0.2">
      <c r="A201" s="121" t="s">
        <v>1457</v>
      </c>
      <c r="B201" s="121" t="s">
        <v>160</v>
      </c>
      <c r="C201" s="121" t="s">
        <v>773</v>
      </c>
      <c r="D201" s="121" t="s">
        <v>802</v>
      </c>
      <c r="E201" s="121" t="s">
        <v>355</v>
      </c>
      <c r="F201" s="380">
        <v>38867</v>
      </c>
      <c r="H201" s="381"/>
      <c r="I201" s="382"/>
      <c r="J201" s="382"/>
      <c r="K201" s="382"/>
      <c r="L201" s="382"/>
      <c r="M201" s="382"/>
      <c r="N201" s="234"/>
      <c r="O201" s="234"/>
    </row>
    <row r="202" spans="1:15" x14ac:dyDescent="0.2">
      <c r="A202" s="121" t="s">
        <v>1458</v>
      </c>
      <c r="B202" s="121" t="s">
        <v>958</v>
      </c>
      <c r="C202" s="121" t="s">
        <v>959</v>
      </c>
      <c r="D202" s="121" t="s">
        <v>802</v>
      </c>
      <c r="E202" s="121" t="s">
        <v>364</v>
      </c>
      <c r="F202" s="380">
        <v>39010</v>
      </c>
      <c r="H202" s="381"/>
      <c r="I202" s="382"/>
      <c r="J202" s="382"/>
      <c r="K202" s="382"/>
      <c r="L202" s="382"/>
      <c r="M202" s="382"/>
      <c r="N202" s="234"/>
      <c r="O202" s="234"/>
    </row>
    <row r="203" spans="1:15" x14ac:dyDescent="0.2">
      <c r="A203" s="121" t="s">
        <v>1459</v>
      </c>
      <c r="B203" s="121" t="s">
        <v>161</v>
      </c>
      <c r="C203" s="121" t="s">
        <v>903</v>
      </c>
      <c r="D203" s="121" t="s">
        <v>802</v>
      </c>
      <c r="E203" s="121" t="s">
        <v>357</v>
      </c>
      <c r="F203" s="380">
        <v>38881</v>
      </c>
      <c r="H203" s="381"/>
      <c r="I203" s="382"/>
      <c r="J203" s="382"/>
      <c r="K203" s="382"/>
      <c r="L203" s="382"/>
      <c r="M203" s="382"/>
      <c r="N203" s="234"/>
      <c r="O203" s="234"/>
    </row>
    <row r="204" spans="1:15" x14ac:dyDescent="0.2">
      <c r="A204" s="121" t="s">
        <v>1460</v>
      </c>
      <c r="B204" s="121" t="s">
        <v>1285</v>
      </c>
      <c r="C204" s="121" t="s">
        <v>1286</v>
      </c>
      <c r="D204" s="121" t="s">
        <v>802</v>
      </c>
      <c r="E204" s="121" t="s">
        <v>366</v>
      </c>
      <c r="F204" s="380">
        <v>38890</v>
      </c>
      <c r="H204" s="381"/>
      <c r="I204" s="382"/>
      <c r="J204" s="382"/>
      <c r="K204" s="382"/>
      <c r="L204" s="382"/>
      <c r="M204" s="382"/>
      <c r="N204" s="234"/>
      <c r="O204" s="234"/>
    </row>
    <row r="205" spans="1:15" x14ac:dyDescent="0.2">
      <c r="A205" s="121" t="s">
        <v>1461</v>
      </c>
      <c r="B205" s="121" t="s">
        <v>1287</v>
      </c>
      <c r="C205" s="121" t="s">
        <v>774</v>
      </c>
      <c r="D205" s="121" t="s">
        <v>802</v>
      </c>
      <c r="E205" s="121" t="s">
        <v>367</v>
      </c>
      <c r="F205" s="380">
        <v>39686</v>
      </c>
      <c r="H205" s="381"/>
      <c r="I205" s="382"/>
      <c r="J205" s="382"/>
      <c r="K205" s="382"/>
      <c r="L205" s="382"/>
      <c r="M205" s="382"/>
      <c r="N205" s="234"/>
      <c r="O205" s="234"/>
    </row>
    <row r="206" spans="1:15" x14ac:dyDescent="0.2">
      <c r="A206" s="121" t="s">
        <v>1462</v>
      </c>
      <c r="B206" s="121" t="s">
        <v>162</v>
      </c>
      <c r="C206" s="121" t="s">
        <v>775</v>
      </c>
      <c r="D206" s="121" t="s">
        <v>802</v>
      </c>
      <c r="E206" s="121" t="s">
        <v>361</v>
      </c>
      <c r="F206" s="380">
        <v>38917</v>
      </c>
      <c r="H206" s="381"/>
      <c r="I206" s="382"/>
      <c r="J206" s="382"/>
      <c r="K206" s="382"/>
      <c r="L206" s="382"/>
      <c r="M206" s="382"/>
      <c r="N206" s="234"/>
      <c r="O206" s="234"/>
    </row>
    <row r="207" spans="1:15" x14ac:dyDescent="0.2">
      <c r="A207" s="121" t="s">
        <v>1463</v>
      </c>
      <c r="B207" s="121" t="s">
        <v>1159</v>
      </c>
      <c r="C207" s="121" t="s">
        <v>163</v>
      </c>
      <c r="D207" s="121" t="s">
        <v>802</v>
      </c>
      <c r="E207" s="121" t="s">
        <v>355</v>
      </c>
      <c r="F207" s="380">
        <v>38897</v>
      </c>
      <c r="H207" s="381"/>
      <c r="I207" s="382"/>
      <c r="J207" s="382"/>
      <c r="K207" s="382"/>
      <c r="L207" s="382"/>
      <c r="M207" s="382"/>
      <c r="N207" s="234"/>
      <c r="O207" s="234"/>
    </row>
    <row r="208" spans="1:15" x14ac:dyDescent="0.2">
      <c r="A208" s="121" t="s">
        <v>1464</v>
      </c>
      <c r="B208" s="121" t="s">
        <v>1159</v>
      </c>
      <c r="C208" s="121" t="s">
        <v>164</v>
      </c>
      <c r="D208" s="121" t="s">
        <v>802</v>
      </c>
      <c r="E208" s="121" t="s">
        <v>355</v>
      </c>
      <c r="F208" s="380">
        <v>38897</v>
      </c>
      <c r="H208" s="381"/>
      <c r="I208" s="382"/>
      <c r="J208" s="382"/>
      <c r="K208" s="382"/>
      <c r="L208" s="382"/>
      <c r="M208" s="382"/>
      <c r="N208" s="234"/>
      <c r="O208" s="234"/>
    </row>
    <row r="209" spans="1:15" x14ac:dyDescent="0.2">
      <c r="A209" s="121" t="s">
        <v>1465</v>
      </c>
      <c r="B209" s="121" t="s">
        <v>824</v>
      </c>
      <c r="C209" s="121" t="s">
        <v>960</v>
      </c>
      <c r="D209" s="121" t="s">
        <v>802</v>
      </c>
      <c r="E209" s="121" t="s">
        <v>356</v>
      </c>
      <c r="F209" s="380">
        <v>38919</v>
      </c>
      <c r="H209" s="381"/>
      <c r="I209" s="382"/>
      <c r="J209" s="382"/>
      <c r="K209" s="382"/>
      <c r="L209" s="382"/>
      <c r="M209" s="382"/>
      <c r="N209" s="234"/>
      <c r="O209" s="234"/>
    </row>
    <row r="210" spans="1:15" x14ac:dyDescent="0.2">
      <c r="A210" s="121" t="s">
        <v>1466</v>
      </c>
      <c r="B210" s="121" t="s">
        <v>165</v>
      </c>
      <c r="C210" s="121" t="s">
        <v>776</v>
      </c>
      <c r="D210" s="121" t="s">
        <v>802</v>
      </c>
      <c r="E210" s="121" t="s">
        <v>365</v>
      </c>
      <c r="F210" s="380">
        <v>38930</v>
      </c>
      <c r="H210" s="381"/>
      <c r="I210" s="382"/>
      <c r="J210" s="382"/>
      <c r="K210" s="382"/>
      <c r="L210" s="382"/>
      <c r="M210" s="382"/>
      <c r="N210" s="234"/>
      <c r="O210" s="234"/>
    </row>
    <row r="211" spans="1:15" x14ac:dyDescent="0.2">
      <c r="A211" s="121" t="s">
        <v>1467</v>
      </c>
      <c r="B211" s="121" t="s">
        <v>536</v>
      </c>
      <c r="C211" s="121" t="s">
        <v>537</v>
      </c>
      <c r="D211" s="121" t="s">
        <v>418</v>
      </c>
      <c r="E211" s="121" t="s">
        <v>418</v>
      </c>
      <c r="F211" s="380">
        <v>38924</v>
      </c>
      <c r="H211" s="381"/>
      <c r="I211" s="382"/>
      <c r="J211" s="382"/>
      <c r="K211" s="382"/>
      <c r="L211" s="382"/>
      <c r="M211" s="382"/>
      <c r="N211" s="234"/>
      <c r="O211" s="234"/>
    </row>
    <row r="212" spans="1:15" x14ac:dyDescent="0.2">
      <c r="A212" s="121" t="s">
        <v>1468</v>
      </c>
      <c r="B212" s="121" t="s">
        <v>536</v>
      </c>
      <c r="C212" s="121" t="s">
        <v>166</v>
      </c>
      <c r="D212" s="121" t="s">
        <v>418</v>
      </c>
      <c r="E212" s="121" t="s">
        <v>418</v>
      </c>
      <c r="F212" s="380">
        <v>38924</v>
      </c>
      <c r="H212" s="381"/>
      <c r="I212" s="382"/>
      <c r="J212" s="382"/>
      <c r="K212" s="382"/>
      <c r="L212" s="382"/>
      <c r="M212" s="382"/>
      <c r="N212" s="234"/>
      <c r="O212" s="234"/>
    </row>
    <row r="213" spans="1:15" x14ac:dyDescent="0.2">
      <c r="A213" s="121" t="s">
        <v>1469</v>
      </c>
      <c r="B213" s="121" t="s">
        <v>825</v>
      </c>
      <c r="C213" s="121" t="s">
        <v>826</v>
      </c>
      <c r="D213" s="121" t="s">
        <v>802</v>
      </c>
      <c r="E213" s="121" t="s">
        <v>368</v>
      </c>
      <c r="F213" s="380">
        <v>39036</v>
      </c>
      <c r="H213" s="381"/>
      <c r="I213" s="382"/>
      <c r="J213" s="382"/>
      <c r="K213" s="382"/>
      <c r="L213" s="382"/>
      <c r="M213" s="382"/>
      <c r="N213" s="234"/>
      <c r="O213" s="234"/>
    </row>
    <row r="214" spans="1:15" x14ac:dyDescent="0.2">
      <c r="A214" s="121" t="s">
        <v>1470</v>
      </c>
      <c r="B214" s="121" t="s">
        <v>526</v>
      </c>
      <c r="C214" s="121" t="s">
        <v>686</v>
      </c>
      <c r="D214" s="121" t="s">
        <v>802</v>
      </c>
      <c r="E214" s="121" t="s">
        <v>356</v>
      </c>
      <c r="F214" s="380">
        <v>39007</v>
      </c>
      <c r="H214" s="381"/>
      <c r="I214" s="382"/>
      <c r="J214" s="382"/>
      <c r="K214" s="382"/>
      <c r="L214" s="382"/>
      <c r="M214" s="382"/>
      <c r="N214" s="234"/>
      <c r="O214" s="234"/>
    </row>
    <row r="215" spans="1:15" x14ac:dyDescent="0.2">
      <c r="A215" s="121" t="s">
        <v>1471</v>
      </c>
      <c r="B215" s="121" t="s">
        <v>526</v>
      </c>
      <c r="C215" s="121" t="s">
        <v>167</v>
      </c>
      <c r="D215" s="121" t="s">
        <v>802</v>
      </c>
      <c r="E215" s="121" t="s">
        <v>356</v>
      </c>
      <c r="F215" s="380">
        <v>39007</v>
      </c>
      <c r="H215" s="381"/>
      <c r="I215" s="382"/>
      <c r="J215" s="382"/>
      <c r="K215" s="382"/>
      <c r="L215" s="382"/>
      <c r="M215" s="382"/>
      <c r="N215" s="234"/>
      <c r="O215" s="234"/>
    </row>
    <row r="216" spans="1:15" x14ac:dyDescent="0.2">
      <c r="A216" s="121" t="s">
        <v>1472</v>
      </c>
      <c r="B216" s="121" t="s">
        <v>1101</v>
      </c>
      <c r="C216" s="121" t="s">
        <v>904</v>
      </c>
      <c r="D216" s="121" t="s">
        <v>802</v>
      </c>
      <c r="E216" s="121" t="s">
        <v>356</v>
      </c>
      <c r="F216" s="380">
        <v>40032</v>
      </c>
      <c r="H216" s="381"/>
      <c r="I216" s="382"/>
      <c r="J216" s="382"/>
      <c r="K216" s="382"/>
      <c r="L216" s="382"/>
      <c r="M216" s="382"/>
      <c r="N216" s="234"/>
      <c r="O216" s="234"/>
    </row>
    <row r="217" spans="1:15" x14ac:dyDescent="0.2">
      <c r="A217" s="121" t="s">
        <v>1473</v>
      </c>
      <c r="B217" s="121" t="s">
        <v>555</v>
      </c>
      <c r="C217" s="121" t="s">
        <v>556</v>
      </c>
      <c r="D217" s="121" t="s">
        <v>802</v>
      </c>
      <c r="E217" s="121" t="s">
        <v>363</v>
      </c>
      <c r="F217" s="380">
        <v>39024</v>
      </c>
      <c r="H217" s="381"/>
      <c r="I217" s="382"/>
      <c r="J217" s="382"/>
      <c r="K217" s="382"/>
      <c r="L217" s="382"/>
      <c r="M217" s="382"/>
      <c r="N217" s="234"/>
      <c r="O217" s="234"/>
    </row>
    <row r="218" spans="1:15" x14ac:dyDescent="0.2">
      <c r="A218" s="121" t="s">
        <v>1474</v>
      </c>
      <c r="B218" s="121" t="s">
        <v>538</v>
      </c>
      <c r="C218" s="121" t="s">
        <v>777</v>
      </c>
      <c r="D218" s="121" t="s">
        <v>802</v>
      </c>
      <c r="E218" s="121" t="s">
        <v>368</v>
      </c>
      <c r="F218" s="380">
        <v>40445</v>
      </c>
      <c r="H218" s="381"/>
      <c r="I218" s="382"/>
      <c r="J218" s="382"/>
      <c r="K218" s="382"/>
      <c r="L218" s="382"/>
      <c r="M218" s="382"/>
      <c r="N218" s="234"/>
      <c r="O218" s="234"/>
    </row>
    <row r="219" spans="1:15" x14ac:dyDescent="0.2">
      <c r="A219" s="121" t="s">
        <v>1475</v>
      </c>
      <c r="B219" s="121" t="s">
        <v>168</v>
      </c>
      <c r="C219" s="121" t="s">
        <v>169</v>
      </c>
      <c r="D219" s="121" t="s">
        <v>802</v>
      </c>
      <c r="E219" s="121" t="s">
        <v>356</v>
      </c>
      <c r="F219" s="380">
        <v>39059</v>
      </c>
      <c r="H219" s="381"/>
      <c r="I219" s="382"/>
      <c r="J219" s="382"/>
      <c r="K219" s="382"/>
      <c r="L219" s="382"/>
      <c r="M219" s="382"/>
      <c r="N219" s="234"/>
      <c r="O219" s="234"/>
    </row>
    <row r="220" spans="1:15" x14ac:dyDescent="0.2">
      <c r="A220" s="121" t="s">
        <v>1476</v>
      </c>
      <c r="B220" s="121" t="s">
        <v>170</v>
      </c>
      <c r="C220" s="121" t="s">
        <v>905</v>
      </c>
      <c r="D220" s="121" t="s">
        <v>802</v>
      </c>
      <c r="E220" s="121" t="s">
        <v>363</v>
      </c>
      <c r="F220" s="380">
        <v>39063</v>
      </c>
      <c r="H220" s="381"/>
      <c r="I220" s="382"/>
      <c r="J220" s="382"/>
      <c r="K220" s="382"/>
      <c r="L220" s="382"/>
      <c r="M220" s="382"/>
      <c r="N220" s="234"/>
      <c r="O220" s="234"/>
    </row>
    <row r="221" spans="1:15" x14ac:dyDescent="0.2">
      <c r="A221" s="121" t="s">
        <v>1477</v>
      </c>
      <c r="B221" s="121" t="s">
        <v>906</v>
      </c>
      <c r="C221" s="121" t="s">
        <v>907</v>
      </c>
      <c r="D221" s="121" t="s">
        <v>802</v>
      </c>
      <c r="E221" s="121" t="s">
        <v>362</v>
      </c>
      <c r="F221" s="380">
        <v>39059</v>
      </c>
      <c r="H221" s="381"/>
      <c r="I221" s="382"/>
      <c r="J221" s="382"/>
      <c r="K221" s="382"/>
      <c r="L221" s="382"/>
      <c r="M221" s="382"/>
      <c r="N221" s="234"/>
      <c r="O221" s="234"/>
    </row>
    <row r="222" spans="1:15" x14ac:dyDescent="0.2">
      <c r="A222" s="121" t="s">
        <v>1478</v>
      </c>
      <c r="B222" s="121" t="s">
        <v>778</v>
      </c>
      <c r="C222" s="121" t="s">
        <v>779</v>
      </c>
      <c r="D222" s="121" t="s">
        <v>802</v>
      </c>
      <c r="E222" s="121" t="s">
        <v>361</v>
      </c>
      <c r="F222" s="380">
        <v>39038</v>
      </c>
      <c r="H222" s="381"/>
      <c r="I222" s="382"/>
      <c r="J222" s="382"/>
      <c r="K222" s="382"/>
      <c r="L222" s="382"/>
      <c r="M222" s="382"/>
      <c r="N222" s="234"/>
      <c r="O222" s="234"/>
    </row>
    <row r="223" spans="1:15" x14ac:dyDescent="0.2">
      <c r="A223" s="121" t="s">
        <v>1479</v>
      </c>
      <c r="B223" s="121" t="s">
        <v>1016</v>
      </c>
      <c r="C223" s="121" t="s">
        <v>1102</v>
      </c>
      <c r="D223" s="121" t="s">
        <v>802</v>
      </c>
      <c r="E223" s="121" t="s">
        <v>358</v>
      </c>
      <c r="F223" s="380">
        <v>39043</v>
      </c>
      <c r="H223" s="381"/>
      <c r="I223" s="382"/>
      <c r="J223" s="382"/>
      <c r="K223" s="382"/>
      <c r="L223" s="382"/>
      <c r="M223" s="382"/>
      <c r="N223" s="234"/>
      <c r="O223" s="234"/>
    </row>
    <row r="224" spans="1:15" x14ac:dyDescent="0.2">
      <c r="A224" s="121" t="s">
        <v>1480</v>
      </c>
      <c r="B224" s="121" t="s">
        <v>171</v>
      </c>
      <c r="C224" s="121" t="s">
        <v>687</v>
      </c>
      <c r="D224" s="121" t="s">
        <v>802</v>
      </c>
      <c r="E224" s="121" t="s">
        <v>363</v>
      </c>
      <c r="F224" s="380">
        <v>39155</v>
      </c>
      <c r="H224" s="381"/>
      <c r="I224" s="382"/>
      <c r="J224" s="382"/>
      <c r="K224" s="382"/>
      <c r="L224" s="382"/>
      <c r="M224" s="382"/>
      <c r="N224" s="234"/>
      <c r="O224" s="234"/>
    </row>
    <row r="225" spans="1:15" x14ac:dyDescent="0.2">
      <c r="A225" s="121" t="s">
        <v>1481</v>
      </c>
      <c r="B225" s="121" t="s">
        <v>529</v>
      </c>
      <c r="C225" s="121" t="s">
        <v>530</v>
      </c>
      <c r="D225" s="121" t="s">
        <v>802</v>
      </c>
      <c r="E225" s="121" t="s">
        <v>356</v>
      </c>
      <c r="F225" s="380">
        <v>39290</v>
      </c>
      <c r="H225" s="381"/>
      <c r="I225" s="382"/>
      <c r="J225" s="382"/>
      <c r="K225" s="382"/>
      <c r="L225" s="382"/>
      <c r="M225" s="382"/>
      <c r="N225" s="234"/>
      <c r="O225" s="234"/>
    </row>
    <row r="226" spans="1:15" x14ac:dyDescent="0.2">
      <c r="A226" s="121" t="s">
        <v>1482</v>
      </c>
      <c r="B226" s="121" t="s">
        <v>780</v>
      </c>
      <c r="C226" s="121" t="s">
        <v>1103</v>
      </c>
      <c r="D226" s="121" t="s">
        <v>802</v>
      </c>
      <c r="E226" s="121" t="s">
        <v>356</v>
      </c>
      <c r="F226" s="380">
        <v>39135</v>
      </c>
      <c r="H226" s="381"/>
      <c r="I226" s="382"/>
      <c r="J226" s="382"/>
      <c r="K226" s="382"/>
      <c r="L226" s="382"/>
      <c r="M226" s="382"/>
      <c r="N226" s="234"/>
      <c r="O226" s="234"/>
    </row>
    <row r="227" spans="1:15" x14ac:dyDescent="0.2">
      <c r="A227" s="121" t="s">
        <v>1483</v>
      </c>
      <c r="B227" s="121" t="s">
        <v>1160</v>
      </c>
      <c r="C227" s="121" t="s">
        <v>172</v>
      </c>
      <c r="D227" s="121" t="s">
        <v>802</v>
      </c>
      <c r="E227" s="121" t="s">
        <v>365</v>
      </c>
      <c r="F227" s="380">
        <v>39185</v>
      </c>
      <c r="H227" s="381"/>
      <c r="I227" s="382"/>
      <c r="J227" s="382"/>
      <c r="K227" s="382"/>
      <c r="L227" s="382"/>
      <c r="M227" s="382"/>
      <c r="N227" s="234"/>
      <c r="O227" s="234"/>
    </row>
    <row r="228" spans="1:15" x14ac:dyDescent="0.2">
      <c r="A228" s="121" t="s">
        <v>1484</v>
      </c>
      <c r="B228" s="121" t="s">
        <v>827</v>
      </c>
      <c r="C228" s="121" t="s">
        <v>828</v>
      </c>
      <c r="D228" s="121" t="s">
        <v>802</v>
      </c>
      <c r="E228" s="121" t="s">
        <v>360</v>
      </c>
      <c r="F228" s="380">
        <v>39259</v>
      </c>
      <c r="H228" s="381"/>
      <c r="I228" s="382"/>
      <c r="J228" s="382"/>
      <c r="K228" s="382"/>
      <c r="L228" s="382"/>
      <c r="M228" s="382"/>
      <c r="N228" s="234"/>
      <c r="O228" s="234"/>
    </row>
    <row r="229" spans="1:15" x14ac:dyDescent="0.2">
      <c r="A229" s="121" t="s">
        <v>1485</v>
      </c>
      <c r="B229" s="121" t="s">
        <v>961</v>
      </c>
      <c r="C229" s="121" t="s">
        <v>173</v>
      </c>
      <c r="D229" s="121" t="s">
        <v>802</v>
      </c>
      <c r="E229" s="121" t="s">
        <v>360</v>
      </c>
      <c r="F229" s="380">
        <v>39199</v>
      </c>
      <c r="H229" s="381"/>
      <c r="I229" s="382"/>
      <c r="J229" s="382"/>
      <c r="K229" s="382"/>
      <c r="L229" s="382"/>
      <c r="M229" s="382"/>
      <c r="N229" s="234"/>
      <c r="O229" s="234"/>
    </row>
    <row r="230" spans="1:15" x14ac:dyDescent="0.2">
      <c r="A230" s="121" t="s">
        <v>1486</v>
      </c>
      <c r="B230" s="121" t="s">
        <v>1017</v>
      </c>
      <c r="C230" s="121" t="s">
        <v>174</v>
      </c>
      <c r="D230" s="121" t="s">
        <v>802</v>
      </c>
      <c r="E230" s="121" t="s">
        <v>361</v>
      </c>
      <c r="F230" s="380">
        <v>39168</v>
      </c>
      <c r="H230" s="381"/>
      <c r="I230" s="382"/>
      <c r="J230" s="382"/>
      <c r="K230" s="382"/>
      <c r="L230" s="382"/>
      <c r="M230" s="382"/>
      <c r="N230" s="234"/>
      <c r="O230" s="234"/>
    </row>
    <row r="231" spans="1:15" x14ac:dyDescent="0.2">
      <c r="A231" s="121" t="s">
        <v>1487</v>
      </c>
      <c r="B231" s="121" t="s">
        <v>175</v>
      </c>
      <c r="C231" s="121" t="s">
        <v>176</v>
      </c>
      <c r="D231" s="121" t="s">
        <v>802</v>
      </c>
      <c r="E231" s="121" t="s">
        <v>363</v>
      </c>
      <c r="F231" s="380">
        <v>39176</v>
      </c>
      <c r="H231" s="381"/>
      <c r="I231" s="382"/>
      <c r="J231" s="382"/>
      <c r="K231" s="382"/>
      <c r="L231" s="382"/>
      <c r="M231" s="382"/>
      <c r="N231" s="234"/>
      <c r="O231" s="234"/>
    </row>
    <row r="232" spans="1:15" x14ac:dyDescent="0.2">
      <c r="A232" s="121" t="s">
        <v>1488</v>
      </c>
      <c r="B232" s="121" t="s">
        <v>175</v>
      </c>
      <c r="C232" s="121" t="s">
        <v>177</v>
      </c>
      <c r="D232" s="121" t="s">
        <v>802</v>
      </c>
      <c r="E232" s="121" t="s">
        <v>363</v>
      </c>
      <c r="F232" s="380">
        <v>39176</v>
      </c>
      <c r="H232" s="381"/>
      <c r="I232" s="382"/>
      <c r="J232" s="382"/>
      <c r="K232" s="382"/>
      <c r="L232" s="382"/>
      <c r="M232" s="382"/>
      <c r="N232" s="234"/>
      <c r="O232" s="234"/>
    </row>
    <row r="233" spans="1:15" x14ac:dyDescent="0.2">
      <c r="A233" s="121" t="s">
        <v>1489</v>
      </c>
      <c r="B233" s="121" t="s">
        <v>178</v>
      </c>
      <c r="C233" s="121" t="s">
        <v>179</v>
      </c>
      <c r="D233" s="121" t="s">
        <v>802</v>
      </c>
      <c r="E233" s="121" t="s">
        <v>363</v>
      </c>
      <c r="F233" s="380">
        <v>39224</v>
      </c>
      <c r="H233" s="381"/>
      <c r="I233" s="384"/>
      <c r="J233" s="382"/>
      <c r="K233" s="382"/>
      <c r="L233" s="382"/>
      <c r="M233" s="382"/>
      <c r="N233" s="234"/>
      <c r="O233" s="234"/>
    </row>
    <row r="234" spans="1:15" x14ac:dyDescent="0.2">
      <c r="A234" s="121" t="s">
        <v>1490</v>
      </c>
      <c r="B234" s="121" t="s">
        <v>180</v>
      </c>
      <c r="C234" s="121" t="s">
        <v>1061</v>
      </c>
      <c r="D234" s="121" t="s">
        <v>802</v>
      </c>
      <c r="E234" s="121" t="s">
        <v>361</v>
      </c>
      <c r="F234" s="380">
        <v>39238</v>
      </c>
      <c r="H234" s="381"/>
      <c r="I234" s="382"/>
      <c r="J234" s="382"/>
      <c r="K234" s="382"/>
      <c r="L234" s="382"/>
      <c r="M234" s="382"/>
      <c r="N234" s="234"/>
      <c r="O234" s="234"/>
    </row>
    <row r="235" spans="1:15" x14ac:dyDescent="0.2">
      <c r="A235" s="121" t="s">
        <v>1491</v>
      </c>
      <c r="B235" s="121" t="s">
        <v>181</v>
      </c>
      <c r="C235" s="121" t="s">
        <v>688</v>
      </c>
      <c r="D235" s="121" t="s">
        <v>802</v>
      </c>
      <c r="E235" s="121" t="s">
        <v>356</v>
      </c>
      <c r="F235" s="380">
        <v>39259</v>
      </c>
      <c r="H235" s="381"/>
      <c r="I235" s="382"/>
      <c r="J235" s="382"/>
      <c r="K235" s="382"/>
      <c r="L235" s="382"/>
      <c r="M235" s="382"/>
      <c r="N235" s="234"/>
      <c r="O235" s="234"/>
    </row>
    <row r="236" spans="1:15" x14ac:dyDescent="0.2">
      <c r="A236" s="121" t="s">
        <v>1492</v>
      </c>
      <c r="B236" s="121" t="s">
        <v>1062</v>
      </c>
      <c r="C236" s="121" t="s">
        <v>182</v>
      </c>
      <c r="D236" s="121" t="s">
        <v>802</v>
      </c>
      <c r="E236" s="121" t="s">
        <v>369</v>
      </c>
      <c r="F236" s="380">
        <v>39248</v>
      </c>
      <c r="H236" s="381"/>
      <c r="I236" s="382"/>
      <c r="J236" s="382"/>
      <c r="K236" s="382"/>
      <c r="L236" s="382"/>
      <c r="M236" s="382"/>
      <c r="N236" s="234"/>
      <c r="O236" s="234"/>
    </row>
    <row r="237" spans="1:15" x14ac:dyDescent="0.2">
      <c r="A237" s="121" t="s">
        <v>1493</v>
      </c>
      <c r="B237" s="121" t="s">
        <v>183</v>
      </c>
      <c r="C237" s="121" t="s">
        <v>1161</v>
      </c>
      <c r="D237" s="121" t="s">
        <v>802</v>
      </c>
      <c r="E237" s="121" t="s">
        <v>361</v>
      </c>
      <c r="F237" s="380">
        <v>39248</v>
      </c>
      <c r="H237" s="381"/>
      <c r="I237" s="382"/>
      <c r="J237" s="382"/>
      <c r="K237" s="382"/>
      <c r="L237" s="382"/>
      <c r="M237" s="382"/>
      <c r="N237" s="234"/>
      <c r="O237" s="234"/>
    </row>
    <row r="238" spans="1:15" x14ac:dyDescent="0.2">
      <c r="A238" s="121" t="s">
        <v>1494</v>
      </c>
      <c r="B238" s="121" t="s">
        <v>1104</v>
      </c>
      <c r="C238" s="121" t="s">
        <v>1105</v>
      </c>
      <c r="D238" s="121" t="s">
        <v>802</v>
      </c>
      <c r="E238" s="121" t="s">
        <v>356</v>
      </c>
      <c r="F238" s="380">
        <v>39248</v>
      </c>
      <c r="H238" s="381"/>
      <c r="I238" s="382"/>
      <c r="J238" s="382"/>
      <c r="K238" s="382"/>
      <c r="L238" s="382"/>
      <c r="M238" s="382"/>
      <c r="N238" s="234"/>
      <c r="O238" s="234"/>
    </row>
    <row r="239" spans="1:15" x14ac:dyDescent="0.2">
      <c r="A239" s="121" t="s">
        <v>1495</v>
      </c>
      <c r="B239" s="121" t="s">
        <v>184</v>
      </c>
      <c r="C239" s="121" t="s">
        <v>185</v>
      </c>
      <c r="D239" s="121" t="s">
        <v>802</v>
      </c>
      <c r="E239" s="121" t="s">
        <v>369</v>
      </c>
      <c r="F239" s="380">
        <v>39248</v>
      </c>
      <c r="H239" s="381"/>
      <c r="I239" s="382"/>
      <c r="J239" s="382"/>
      <c r="K239" s="382"/>
      <c r="L239" s="382"/>
      <c r="M239" s="382"/>
      <c r="N239" s="234"/>
      <c r="O239" s="234"/>
    </row>
    <row r="240" spans="1:15" x14ac:dyDescent="0.2">
      <c r="A240" s="121" t="s">
        <v>1496</v>
      </c>
      <c r="B240" s="121" t="s">
        <v>186</v>
      </c>
      <c r="C240" s="121" t="s">
        <v>1497</v>
      </c>
      <c r="D240" s="121" t="s">
        <v>802</v>
      </c>
      <c r="E240" s="121" t="s">
        <v>364</v>
      </c>
      <c r="F240" s="380">
        <v>39248</v>
      </c>
      <c r="H240" s="381"/>
      <c r="I240" s="382"/>
      <c r="J240" s="382"/>
      <c r="K240" s="382"/>
      <c r="L240" s="382"/>
      <c r="M240" s="382"/>
      <c r="N240" s="234"/>
      <c r="O240" s="234"/>
    </row>
    <row r="241" spans="1:15" x14ac:dyDescent="0.2">
      <c r="A241" s="121" t="s">
        <v>1498</v>
      </c>
      <c r="B241" s="121" t="s">
        <v>187</v>
      </c>
      <c r="C241" s="121" t="s">
        <v>689</v>
      </c>
      <c r="D241" s="121" t="s">
        <v>802</v>
      </c>
      <c r="E241" s="121" t="s">
        <v>306</v>
      </c>
      <c r="F241" s="380">
        <v>39283</v>
      </c>
      <c r="H241" s="381"/>
      <c r="I241" s="382"/>
      <c r="J241" s="382"/>
      <c r="K241" s="382"/>
      <c r="L241" s="382"/>
      <c r="M241" s="382"/>
      <c r="N241" s="234"/>
      <c r="O241" s="234"/>
    </row>
    <row r="242" spans="1:15" x14ac:dyDescent="0.2">
      <c r="A242" s="121" t="s">
        <v>1499</v>
      </c>
      <c r="B242" s="121" t="s">
        <v>1018</v>
      </c>
      <c r="C242" s="121" t="s">
        <v>1019</v>
      </c>
      <c r="D242" s="121" t="s">
        <v>802</v>
      </c>
      <c r="E242" s="121" t="s">
        <v>356</v>
      </c>
      <c r="F242" s="380">
        <v>39353</v>
      </c>
      <c r="H242" s="381"/>
      <c r="I242" s="382"/>
      <c r="J242" s="382"/>
      <c r="K242" s="382"/>
      <c r="L242" s="382"/>
      <c r="M242" s="382"/>
      <c r="N242" s="234"/>
      <c r="O242" s="234"/>
    </row>
    <row r="243" spans="1:15" x14ac:dyDescent="0.2">
      <c r="A243" s="121" t="s">
        <v>1500</v>
      </c>
      <c r="B243" s="121" t="s">
        <v>518</v>
      </c>
      <c r="C243" s="121" t="s">
        <v>519</v>
      </c>
      <c r="D243" s="121" t="s">
        <v>802</v>
      </c>
      <c r="E243" s="121" t="s">
        <v>355</v>
      </c>
      <c r="F243" s="380">
        <v>39337</v>
      </c>
      <c r="H243" s="381"/>
      <c r="I243" s="384"/>
      <c r="J243" s="384"/>
      <c r="K243" s="384"/>
      <c r="L243" s="384"/>
      <c r="M243" s="384"/>
      <c r="N243" s="383"/>
      <c r="O243" s="383"/>
    </row>
    <row r="244" spans="1:15" x14ac:dyDescent="0.2">
      <c r="A244" s="121" t="s">
        <v>1501</v>
      </c>
      <c r="B244" s="121" t="s">
        <v>781</v>
      </c>
      <c r="C244" s="121" t="s">
        <v>188</v>
      </c>
      <c r="D244" s="121" t="s">
        <v>802</v>
      </c>
      <c r="E244" s="121" t="s">
        <v>364</v>
      </c>
      <c r="F244" s="380">
        <v>39392</v>
      </c>
      <c r="H244" s="381"/>
      <c r="I244" s="382"/>
      <c r="J244" s="382"/>
      <c r="K244" s="382"/>
      <c r="L244" s="382"/>
      <c r="M244" s="382"/>
      <c r="N244" s="234"/>
      <c r="O244" s="234"/>
    </row>
    <row r="245" spans="1:15" x14ac:dyDescent="0.2">
      <c r="A245" s="121" t="s">
        <v>1502</v>
      </c>
      <c r="B245" s="121" t="s">
        <v>1020</v>
      </c>
      <c r="C245" s="121" t="s">
        <v>1021</v>
      </c>
      <c r="D245" s="121" t="s">
        <v>802</v>
      </c>
      <c r="E245" s="121" t="s">
        <v>356</v>
      </c>
      <c r="F245" s="380">
        <v>39471</v>
      </c>
      <c r="H245" s="381"/>
      <c r="I245" s="382"/>
      <c r="J245" s="382"/>
      <c r="K245" s="382"/>
      <c r="L245" s="382"/>
      <c r="M245" s="382"/>
      <c r="N245" s="234"/>
      <c r="O245" s="234"/>
    </row>
    <row r="246" spans="1:15" x14ac:dyDescent="0.2">
      <c r="A246" s="121" t="s">
        <v>1503</v>
      </c>
      <c r="B246" s="121" t="s">
        <v>1288</v>
      </c>
      <c r="C246" s="121" t="s">
        <v>1289</v>
      </c>
      <c r="D246" s="121" t="s">
        <v>802</v>
      </c>
      <c r="E246" s="121" t="s">
        <v>364</v>
      </c>
      <c r="F246" s="380">
        <v>39420</v>
      </c>
      <c r="H246" s="381"/>
      <c r="I246" s="382"/>
      <c r="J246" s="382"/>
      <c r="K246" s="382"/>
      <c r="L246" s="382"/>
      <c r="M246" s="382"/>
      <c r="N246" s="234"/>
      <c r="O246" s="234"/>
    </row>
    <row r="247" spans="1:15" x14ac:dyDescent="0.2">
      <c r="A247" s="121" t="s">
        <v>1504</v>
      </c>
      <c r="B247" s="121" t="s">
        <v>1063</v>
      </c>
      <c r="C247" s="121" t="s">
        <v>198</v>
      </c>
      <c r="D247" s="121" t="s">
        <v>802</v>
      </c>
      <c r="E247" s="121" t="s">
        <v>355</v>
      </c>
      <c r="F247" s="380">
        <v>39422</v>
      </c>
      <c r="H247" s="381"/>
      <c r="I247" s="382"/>
      <c r="J247" s="382"/>
      <c r="K247" s="382"/>
      <c r="L247" s="382"/>
      <c r="M247" s="382"/>
      <c r="N247" s="234"/>
      <c r="O247" s="234"/>
    </row>
    <row r="248" spans="1:15" x14ac:dyDescent="0.2">
      <c r="A248" s="121" t="s">
        <v>1505</v>
      </c>
      <c r="B248" s="121" t="s">
        <v>199</v>
      </c>
      <c r="C248" s="121" t="s">
        <v>200</v>
      </c>
      <c r="D248" s="121" t="s">
        <v>802</v>
      </c>
      <c r="E248" s="121" t="s">
        <v>363</v>
      </c>
      <c r="F248" s="380">
        <v>39421</v>
      </c>
      <c r="H248" s="381"/>
      <c r="I248" s="382"/>
      <c r="J248" s="382"/>
      <c r="K248" s="382"/>
      <c r="L248" s="382"/>
      <c r="M248" s="382"/>
      <c r="N248" s="234"/>
      <c r="O248" s="234"/>
    </row>
    <row r="249" spans="1:15" x14ac:dyDescent="0.2">
      <c r="A249" s="121" t="s">
        <v>1506</v>
      </c>
      <c r="B249" s="121" t="s">
        <v>908</v>
      </c>
      <c r="C249" s="121" t="s">
        <v>201</v>
      </c>
      <c r="D249" s="121" t="s">
        <v>802</v>
      </c>
      <c r="E249" s="121" t="s">
        <v>367</v>
      </c>
      <c r="F249" s="380">
        <v>39561</v>
      </c>
      <c r="H249" s="381"/>
      <c r="I249" s="382"/>
      <c r="J249" s="382"/>
      <c r="K249" s="382"/>
      <c r="L249" s="382"/>
      <c r="M249" s="382"/>
      <c r="N249" s="234"/>
      <c r="O249" s="234"/>
    </row>
    <row r="250" spans="1:15" x14ac:dyDescent="0.2">
      <c r="A250" s="121" t="s">
        <v>1507</v>
      </c>
      <c r="B250" s="121" t="s">
        <v>909</v>
      </c>
      <c r="C250" s="121" t="s">
        <v>202</v>
      </c>
      <c r="D250" s="121" t="s">
        <v>802</v>
      </c>
      <c r="E250" s="121" t="s">
        <v>363</v>
      </c>
      <c r="F250" s="380">
        <v>39553</v>
      </c>
      <c r="H250" s="381"/>
      <c r="I250" s="382"/>
      <c r="J250" s="382"/>
      <c r="K250" s="382"/>
      <c r="L250" s="382"/>
      <c r="M250" s="382"/>
      <c r="N250" s="234"/>
      <c r="O250" s="234"/>
    </row>
    <row r="251" spans="1:15" x14ac:dyDescent="0.2">
      <c r="A251" s="121" t="s">
        <v>1508</v>
      </c>
      <c r="B251" s="121" t="s">
        <v>1064</v>
      </c>
      <c r="C251" s="121" t="s">
        <v>1065</v>
      </c>
      <c r="D251" s="121" t="s">
        <v>802</v>
      </c>
      <c r="E251" s="121" t="s">
        <v>361</v>
      </c>
      <c r="F251" s="380">
        <v>39540</v>
      </c>
      <c r="H251" s="381"/>
      <c r="I251" s="382"/>
      <c r="J251" s="382"/>
      <c r="K251" s="382"/>
      <c r="L251" s="382"/>
      <c r="M251" s="382"/>
      <c r="N251" s="234"/>
      <c r="O251" s="234"/>
    </row>
    <row r="252" spans="1:15" x14ac:dyDescent="0.2">
      <c r="A252" s="121" t="s">
        <v>1509</v>
      </c>
      <c r="B252" s="121" t="s">
        <v>203</v>
      </c>
      <c r="C252" s="121" t="s">
        <v>782</v>
      </c>
      <c r="D252" s="121" t="s">
        <v>802</v>
      </c>
      <c r="E252" s="121" t="s">
        <v>360</v>
      </c>
      <c r="F252" s="380">
        <v>39533</v>
      </c>
      <c r="H252" s="381"/>
      <c r="I252" s="382"/>
      <c r="J252" s="382"/>
      <c r="K252" s="382"/>
      <c r="L252" s="382"/>
      <c r="M252" s="382"/>
      <c r="N252" s="234"/>
      <c r="O252" s="234"/>
    </row>
    <row r="253" spans="1:15" x14ac:dyDescent="0.2">
      <c r="A253" s="121" t="s">
        <v>1510</v>
      </c>
      <c r="B253" s="121" t="s">
        <v>204</v>
      </c>
      <c r="C253" s="121" t="s">
        <v>42</v>
      </c>
      <c r="D253" s="121" t="s">
        <v>802</v>
      </c>
      <c r="E253" s="121" t="s">
        <v>368</v>
      </c>
      <c r="F253" s="380">
        <v>39539</v>
      </c>
      <c r="H253" s="381"/>
      <c r="I253" s="382"/>
      <c r="J253" s="382"/>
      <c r="K253" s="382"/>
      <c r="L253" s="382"/>
      <c r="M253" s="382"/>
      <c r="N253" s="234"/>
      <c r="O253" s="234"/>
    </row>
    <row r="254" spans="1:15" x14ac:dyDescent="0.2">
      <c r="A254" s="121" t="s">
        <v>1511</v>
      </c>
      <c r="B254" s="121" t="s">
        <v>205</v>
      </c>
      <c r="C254" s="121" t="s">
        <v>1022</v>
      </c>
      <c r="D254" s="121" t="s">
        <v>802</v>
      </c>
      <c r="E254" s="121" t="s">
        <v>365</v>
      </c>
      <c r="F254" s="380">
        <v>39567</v>
      </c>
      <c r="H254" s="381"/>
      <c r="I254" s="382"/>
      <c r="J254" s="382"/>
      <c r="K254" s="382"/>
      <c r="L254" s="382"/>
      <c r="M254" s="382"/>
      <c r="N254" s="234"/>
      <c r="O254" s="234"/>
    </row>
    <row r="255" spans="1:15" x14ac:dyDescent="0.2">
      <c r="A255" s="121" t="s">
        <v>1512</v>
      </c>
      <c r="B255" s="121" t="s">
        <v>1290</v>
      </c>
      <c r="C255" s="121" t="s">
        <v>1291</v>
      </c>
      <c r="D255" s="121" t="s">
        <v>802</v>
      </c>
      <c r="E255" s="121" t="s">
        <v>365</v>
      </c>
      <c r="F255" s="380">
        <v>39577</v>
      </c>
      <c r="H255" s="381"/>
      <c r="I255" s="382"/>
      <c r="J255" s="382"/>
      <c r="K255" s="382"/>
      <c r="L255" s="382"/>
      <c r="M255" s="382"/>
      <c r="N255" s="234"/>
      <c r="O255" s="234"/>
    </row>
    <row r="256" spans="1:15" x14ac:dyDescent="0.2">
      <c r="A256" s="121" t="s">
        <v>1513</v>
      </c>
      <c r="B256" s="121" t="s">
        <v>863</v>
      </c>
      <c r="C256" s="121" t="s">
        <v>1162</v>
      </c>
      <c r="D256" s="121" t="s">
        <v>370</v>
      </c>
      <c r="E256" s="121" t="s">
        <v>370</v>
      </c>
      <c r="F256" s="380">
        <v>39602</v>
      </c>
      <c r="H256" s="381"/>
      <c r="I256" s="382"/>
      <c r="J256" s="382"/>
      <c r="K256" s="382"/>
      <c r="L256" s="382"/>
      <c r="M256" s="382"/>
      <c r="N256" s="234"/>
      <c r="O256" s="234"/>
    </row>
    <row r="257" spans="1:15" x14ac:dyDescent="0.2">
      <c r="A257" s="121" t="s">
        <v>1514</v>
      </c>
      <c r="B257" s="121" t="s">
        <v>209</v>
      </c>
      <c r="C257" s="121" t="s">
        <v>210</v>
      </c>
      <c r="D257" s="121" t="s">
        <v>802</v>
      </c>
      <c r="E257" s="121" t="s">
        <v>363</v>
      </c>
      <c r="F257" s="380">
        <v>39535</v>
      </c>
      <c r="H257" s="381"/>
      <c r="I257" s="382"/>
      <c r="J257" s="382"/>
      <c r="K257" s="382"/>
      <c r="L257" s="382"/>
      <c r="M257" s="382"/>
      <c r="N257" s="234"/>
      <c r="O257" s="234"/>
    </row>
    <row r="258" spans="1:15" x14ac:dyDescent="0.2">
      <c r="A258" s="121" t="s">
        <v>1515</v>
      </c>
      <c r="B258" s="121" t="s">
        <v>550</v>
      </c>
      <c r="C258" s="121" t="s">
        <v>551</v>
      </c>
      <c r="D258" s="121" t="s">
        <v>802</v>
      </c>
      <c r="E258" s="121" t="s">
        <v>355</v>
      </c>
      <c r="F258" s="380">
        <v>39787</v>
      </c>
      <c r="H258" s="381"/>
      <c r="I258" s="382"/>
      <c r="J258" s="382"/>
      <c r="K258" s="382"/>
      <c r="L258" s="382"/>
      <c r="M258" s="382"/>
      <c r="N258" s="234"/>
      <c r="O258" s="234"/>
    </row>
    <row r="259" spans="1:15" x14ac:dyDescent="0.2">
      <c r="A259" s="121" t="s">
        <v>1516</v>
      </c>
      <c r="B259" s="121" t="s">
        <v>1517</v>
      </c>
      <c r="C259" s="121" t="s">
        <v>211</v>
      </c>
      <c r="D259" s="121" t="s">
        <v>802</v>
      </c>
      <c r="E259" s="121" t="s">
        <v>356</v>
      </c>
      <c r="F259" s="380">
        <v>39618</v>
      </c>
      <c r="H259" s="381"/>
      <c r="I259" s="382"/>
      <c r="J259" s="382"/>
      <c r="K259" s="382"/>
      <c r="L259" s="382"/>
      <c r="M259" s="382"/>
      <c r="N259" s="234"/>
      <c r="O259" s="234"/>
    </row>
    <row r="260" spans="1:15" x14ac:dyDescent="0.2">
      <c r="A260" s="121" t="s">
        <v>1518</v>
      </c>
      <c r="B260" s="121" t="s">
        <v>783</v>
      </c>
      <c r="C260" s="121" t="s">
        <v>784</v>
      </c>
      <c r="D260" s="121" t="s">
        <v>802</v>
      </c>
      <c r="E260" s="121" t="s">
        <v>357</v>
      </c>
      <c r="F260" s="380">
        <v>39708</v>
      </c>
      <c r="H260" s="381"/>
      <c r="I260" s="382"/>
      <c r="J260" s="382"/>
      <c r="K260" s="382"/>
      <c r="L260" s="382"/>
      <c r="M260" s="382"/>
      <c r="N260" s="234"/>
      <c r="O260" s="234"/>
    </row>
    <row r="261" spans="1:15" x14ac:dyDescent="0.2">
      <c r="A261" s="121" t="s">
        <v>1519</v>
      </c>
      <c r="B261" s="121" t="s">
        <v>212</v>
      </c>
      <c r="C261" s="121" t="s">
        <v>785</v>
      </c>
      <c r="D261" s="121" t="s">
        <v>802</v>
      </c>
      <c r="E261" s="121" t="s">
        <v>363</v>
      </c>
      <c r="F261" s="380">
        <v>39778</v>
      </c>
      <c r="H261" s="381"/>
      <c r="I261" s="382"/>
      <c r="J261" s="382"/>
      <c r="K261" s="382"/>
      <c r="L261" s="382"/>
      <c r="M261" s="382"/>
      <c r="N261" s="234"/>
      <c r="O261" s="234"/>
    </row>
    <row r="262" spans="1:15" x14ac:dyDescent="0.2">
      <c r="A262" s="121" t="s">
        <v>1520</v>
      </c>
      <c r="B262" s="121" t="s">
        <v>212</v>
      </c>
      <c r="C262" s="121" t="s">
        <v>786</v>
      </c>
      <c r="D262" s="121" t="s">
        <v>802</v>
      </c>
      <c r="E262" s="121" t="s">
        <v>363</v>
      </c>
      <c r="F262" s="380">
        <v>40108</v>
      </c>
      <c r="H262" s="381"/>
      <c r="I262" s="382"/>
      <c r="J262" s="382"/>
      <c r="K262" s="382"/>
      <c r="L262" s="382"/>
      <c r="M262" s="382"/>
      <c r="N262" s="234"/>
      <c r="O262" s="234"/>
    </row>
    <row r="263" spans="1:15" x14ac:dyDescent="0.2">
      <c r="A263" s="121" t="s">
        <v>1521</v>
      </c>
      <c r="B263" s="121" t="s">
        <v>1066</v>
      </c>
      <c r="C263" s="121" t="s">
        <v>213</v>
      </c>
      <c r="D263" s="121" t="s">
        <v>802</v>
      </c>
      <c r="E263" s="121" t="s">
        <v>357</v>
      </c>
      <c r="F263" s="380">
        <v>39794</v>
      </c>
      <c r="H263" s="381"/>
      <c r="I263" s="382"/>
      <c r="J263" s="382"/>
      <c r="K263" s="382"/>
      <c r="L263" s="382"/>
      <c r="M263" s="382"/>
      <c r="N263" s="234"/>
      <c r="O263" s="234"/>
    </row>
    <row r="264" spans="1:15" x14ac:dyDescent="0.2">
      <c r="A264" s="121" t="s">
        <v>1522</v>
      </c>
      <c r="B264" s="121" t="s">
        <v>553</v>
      </c>
      <c r="C264" s="121" t="s">
        <v>554</v>
      </c>
      <c r="D264" s="121" t="s">
        <v>802</v>
      </c>
      <c r="E264" s="121" t="s">
        <v>365</v>
      </c>
      <c r="F264" s="380">
        <v>39777</v>
      </c>
      <c r="H264" s="381"/>
      <c r="I264" s="382"/>
      <c r="J264" s="382"/>
      <c r="K264" s="382"/>
      <c r="L264" s="382"/>
      <c r="M264" s="382"/>
      <c r="N264" s="234"/>
      <c r="O264" s="234"/>
    </row>
    <row r="265" spans="1:15" x14ac:dyDescent="0.2">
      <c r="A265" s="121" t="s">
        <v>1523</v>
      </c>
      <c r="B265" s="121" t="s">
        <v>787</v>
      </c>
      <c r="C265" s="121" t="s">
        <v>829</v>
      </c>
      <c r="D265" s="121" t="s">
        <v>802</v>
      </c>
      <c r="E265" s="121" t="s">
        <v>365</v>
      </c>
      <c r="F265" s="380">
        <v>39773</v>
      </c>
      <c r="H265" s="381"/>
      <c r="I265" s="382"/>
      <c r="J265" s="382"/>
      <c r="K265" s="382"/>
      <c r="L265" s="382"/>
      <c r="M265" s="382"/>
      <c r="N265" s="234"/>
      <c r="O265" s="234"/>
    </row>
    <row r="266" spans="1:15" x14ac:dyDescent="0.2">
      <c r="A266" s="121" t="s">
        <v>1524</v>
      </c>
      <c r="B266" s="121" t="s">
        <v>787</v>
      </c>
      <c r="C266" s="121" t="s">
        <v>788</v>
      </c>
      <c r="D266" s="121" t="s">
        <v>802</v>
      </c>
      <c r="E266" s="121" t="s">
        <v>365</v>
      </c>
      <c r="F266" s="380">
        <v>39773</v>
      </c>
      <c r="H266" s="381"/>
      <c r="I266" s="382"/>
      <c r="J266" s="382"/>
      <c r="K266" s="382"/>
      <c r="L266" s="382"/>
      <c r="M266" s="382"/>
      <c r="N266" s="234"/>
      <c r="O266" s="234"/>
    </row>
    <row r="267" spans="1:15" x14ac:dyDescent="0.2">
      <c r="A267" s="121" t="s">
        <v>1525</v>
      </c>
      <c r="B267" s="121" t="s">
        <v>520</v>
      </c>
      <c r="C267" s="121" t="s">
        <v>690</v>
      </c>
      <c r="D267" s="121" t="s">
        <v>802</v>
      </c>
      <c r="E267" s="121" t="s">
        <v>356</v>
      </c>
      <c r="F267" s="380">
        <v>40004</v>
      </c>
      <c r="H267" s="381"/>
      <c r="I267" s="382"/>
      <c r="J267" s="382"/>
      <c r="K267" s="382"/>
      <c r="L267" s="382"/>
      <c r="M267" s="382"/>
      <c r="N267" s="234"/>
      <c r="O267" s="234"/>
    </row>
    <row r="268" spans="1:15" x14ac:dyDescent="0.2">
      <c r="A268" s="121" t="s">
        <v>1526</v>
      </c>
      <c r="B268" s="121" t="s">
        <v>214</v>
      </c>
      <c r="C268" s="121" t="s">
        <v>215</v>
      </c>
      <c r="D268" s="121" t="s">
        <v>802</v>
      </c>
      <c r="E268" s="121" t="s">
        <v>356</v>
      </c>
      <c r="F268" s="380">
        <v>39990</v>
      </c>
      <c r="H268" s="381"/>
      <c r="I268" s="382"/>
      <c r="J268" s="382"/>
      <c r="K268" s="382"/>
      <c r="L268" s="382"/>
      <c r="M268" s="382"/>
      <c r="N268" s="234"/>
      <c r="O268" s="234"/>
    </row>
    <row r="269" spans="1:15" x14ac:dyDescent="0.2">
      <c r="A269" s="121" t="s">
        <v>1527</v>
      </c>
      <c r="B269" s="121" t="s">
        <v>864</v>
      </c>
      <c r="C269" s="121" t="s">
        <v>865</v>
      </c>
      <c r="D269" s="121" t="s">
        <v>802</v>
      </c>
      <c r="E269" s="121" t="s">
        <v>358</v>
      </c>
      <c r="F269" s="380">
        <v>40009</v>
      </c>
      <c r="H269" s="381"/>
      <c r="I269" s="382"/>
      <c r="J269" s="382"/>
      <c r="K269" s="382"/>
      <c r="L269" s="382"/>
      <c r="M269" s="382"/>
      <c r="N269" s="234"/>
      <c r="O269" s="234"/>
    </row>
    <row r="270" spans="1:15" x14ac:dyDescent="0.2">
      <c r="A270" s="121" t="s">
        <v>1528</v>
      </c>
      <c r="B270" s="121" t="s">
        <v>789</v>
      </c>
      <c r="C270" s="121" t="s">
        <v>216</v>
      </c>
      <c r="D270" s="121" t="s">
        <v>802</v>
      </c>
      <c r="E270" s="121" t="s">
        <v>361</v>
      </c>
      <c r="F270" s="380">
        <v>40053</v>
      </c>
      <c r="H270" s="381"/>
      <c r="I270" s="382"/>
      <c r="J270" s="382"/>
      <c r="K270" s="382"/>
      <c r="L270" s="382"/>
      <c r="M270" s="382"/>
      <c r="N270" s="234"/>
      <c r="O270" s="234"/>
    </row>
    <row r="271" spans="1:15" x14ac:dyDescent="0.2">
      <c r="A271" s="121" t="s">
        <v>1529</v>
      </c>
      <c r="B271" s="121" t="s">
        <v>217</v>
      </c>
      <c r="C271" s="121" t="s">
        <v>218</v>
      </c>
      <c r="D271" s="121" t="s">
        <v>802</v>
      </c>
      <c r="E271" s="121" t="s">
        <v>355</v>
      </c>
      <c r="F271" s="380">
        <v>40211</v>
      </c>
      <c r="H271" s="381"/>
      <c r="I271" s="382"/>
      <c r="J271" s="382"/>
      <c r="K271" s="382"/>
      <c r="L271" s="382"/>
      <c r="M271" s="382"/>
      <c r="N271" s="234"/>
      <c r="O271" s="234"/>
    </row>
    <row r="272" spans="1:15" x14ac:dyDescent="0.2">
      <c r="A272" s="121" t="s">
        <v>1530</v>
      </c>
      <c r="B272" s="121" t="s">
        <v>533</v>
      </c>
      <c r="C272" s="121" t="s">
        <v>534</v>
      </c>
      <c r="D272" s="121" t="s">
        <v>802</v>
      </c>
      <c r="E272" s="121" t="s">
        <v>363</v>
      </c>
      <c r="F272" s="380">
        <v>40085</v>
      </c>
      <c r="H272" s="381"/>
      <c r="I272" s="382"/>
      <c r="J272" s="382"/>
      <c r="K272" s="382"/>
      <c r="L272" s="382"/>
      <c r="M272" s="382"/>
      <c r="N272" s="234"/>
      <c r="O272" s="234"/>
    </row>
    <row r="273" spans="1:15" x14ac:dyDescent="0.2">
      <c r="A273" s="121" t="s">
        <v>1531</v>
      </c>
      <c r="B273" s="121" t="s">
        <v>533</v>
      </c>
      <c r="C273" s="121" t="s">
        <v>219</v>
      </c>
      <c r="D273" s="121" t="s">
        <v>802</v>
      </c>
      <c r="E273" s="121" t="s">
        <v>363</v>
      </c>
      <c r="F273" s="380">
        <v>40141</v>
      </c>
      <c r="H273" s="381"/>
      <c r="I273" s="382"/>
      <c r="J273" s="382"/>
      <c r="K273" s="382"/>
      <c r="L273" s="382"/>
      <c r="M273" s="382"/>
      <c r="N273" s="234"/>
      <c r="O273" s="234"/>
    </row>
    <row r="274" spans="1:15" x14ac:dyDescent="0.2">
      <c r="A274" s="121" t="s">
        <v>1532</v>
      </c>
      <c r="B274" s="121" t="s">
        <v>790</v>
      </c>
      <c r="C274" s="121" t="s">
        <v>791</v>
      </c>
      <c r="D274" s="121" t="s">
        <v>802</v>
      </c>
      <c r="E274" s="121" t="s">
        <v>363</v>
      </c>
      <c r="F274" s="380">
        <v>40081</v>
      </c>
      <c r="H274" s="381"/>
      <c r="I274" s="382"/>
      <c r="J274" s="382"/>
      <c r="K274" s="382"/>
      <c r="L274" s="382"/>
      <c r="M274" s="382"/>
      <c r="N274" s="234"/>
      <c r="O274" s="234"/>
    </row>
    <row r="275" spans="1:15" x14ac:dyDescent="0.2">
      <c r="A275" s="121" t="s">
        <v>1533</v>
      </c>
      <c r="B275" s="121" t="s">
        <v>220</v>
      </c>
      <c r="C275" s="121" t="s">
        <v>792</v>
      </c>
      <c r="D275" s="121" t="s">
        <v>802</v>
      </c>
      <c r="E275" s="121" t="s">
        <v>369</v>
      </c>
      <c r="F275" s="380">
        <v>40165</v>
      </c>
      <c r="H275" s="381"/>
      <c r="I275" s="382"/>
      <c r="J275" s="382"/>
      <c r="K275" s="382"/>
      <c r="L275" s="382"/>
      <c r="M275" s="382"/>
      <c r="N275" s="234"/>
      <c r="O275" s="234"/>
    </row>
    <row r="276" spans="1:15" x14ac:dyDescent="0.2">
      <c r="A276" s="121" t="s">
        <v>1534</v>
      </c>
      <c r="B276" s="121" t="s">
        <v>527</v>
      </c>
      <c r="C276" s="121" t="s">
        <v>1163</v>
      </c>
      <c r="D276" s="121" t="s">
        <v>802</v>
      </c>
      <c r="E276" s="121" t="s">
        <v>369</v>
      </c>
      <c r="F276" s="380">
        <v>40414</v>
      </c>
      <c r="H276" s="381"/>
      <c r="I276" s="382"/>
      <c r="J276" s="382"/>
      <c r="K276" s="382"/>
      <c r="L276" s="382"/>
      <c r="M276" s="382"/>
      <c r="N276" s="234"/>
      <c r="O276" s="234"/>
    </row>
    <row r="277" spans="1:15" x14ac:dyDescent="0.2">
      <c r="A277" s="121" t="s">
        <v>1535</v>
      </c>
      <c r="B277" s="121" t="s">
        <v>793</v>
      </c>
      <c r="C277" s="121" t="s">
        <v>1106</v>
      </c>
      <c r="D277" s="121" t="s">
        <v>802</v>
      </c>
      <c r="E277" s="121" t="s">
        <v>369</v>
      </c>
      <c r="F277" s="380">
        <v>40239</v>
      </c>
      <c r="H277" s="381"/>
      <c r="I277" s="382"/>
      <c r="J277" s="382"/>
      <c r="K277" s="382"/>
      <c r="L277" s="382"/>
      <c r="M277" s="382"/>
      <c r="N277" s="234"/>
      <c r="O277" s="234"/>
    </row>
    <row r="278" spans="1:15" x14ac:dyDescent="0.2">
      <c r="A278" s="121" t="s">
        <v>1536</v>
      </c>
      <c r="B278" s="121" t="s">
        <v>962</v>
      </c>
      <c r="C278" s="121" t="s">
        <v>963</v>
      </c>
      <c r="D278" s="121" t="s">
        <v>802</v>
      </c>
      <c r="E278" s="121" t="s">
        <v>364</v>
      </c>
      <c r="F278" s="380">
        <v>40288</v>
      </c>
      <c r="H278" s="381"/>
      <c r="I278" s="382"/>
      <c r="J278" s="382"/>
      <c r="K278" s="382"/>
      <c r="L278" s="382"/>
      <c r="M278" s="382"/>
      <c r="N278" s="234"/>
      <c r="O278" s="234"/>
    </row>
    <row r="279" spans="1:15" x14ac:dyDescent="0.2">
      <c r="A279" s="121" t="s">
        <v>1537</v>
      </c>
      <c r="B279" s="121" t="s">
        <v>221</v>
      </c>
      <c r="C279" s="121" t="s">
        <v>222</v>
      </c>
      <c r="D279" s="121" t="s">
        <v>802</v>
      </c>
      <c r="E279" s="121" t="s">
        <v>365</v>
      </c>
      <c r="F279" s="380">
        <v>40330</v>
      </c>
      <c r="H279" s="381"/>
      <c r="I279" s="382"/>
      <c r="J279" s="382"/>
      <c r="K279" s="382"/>
      <c r="L279" s="382"/>
      <c r="M279" s="382"/>
      <c r="N279" s="234"/>
      <c r="O279" s="234"/>
    </row>
    <row r="280" spans="1:15" x14ac:dyDescent="0.2">
      <c r="A280" s="121" t="s">
        <v>1538</v>
      </c>
      <c r="B280" s="121" t="s">
        <v>678</v>
      </c>
      <c r="C280" s="121" t="s">
        <v>223</v>
      </c>
      <c r="D280" s="121" t="s">
        <v>802</v>
      </c>
      <c r="E280" s="121" t="s">
        <v>361</v>
      </c>
      <c r="F280" s="380">
        <v>40424</v>
      </c>
      <c r="H280" s="381"/>
      <c r="I280" s="382"/>
      <c r="J280" s="382"/>
      <c r="K280" s="382"/>
      <c r="L280" s="382"/>
      <c r="M280" s="382"/>
      <c r="N280" s="234"/>
      <c r="O280" s="234"/>
    </row>
    <row r="281" spans="1:15" x14ac:dyDescent="0.2">
      <c r="A281" s="121" t="s">
        <v>1539</v>
      </c>
      <c r="B281" s="121" t="s">
        <v>224</v>
      </c>
      <c r="C281" s="121" t="s">
        <v>794</v>
      </c>
      <c r="D281" s="121" t="s">
        <v>802</v>
      </c>
      <c r="E281" s="121" t="s">
        <v>365</v>
      </c>
      <c r="F281" s="380">
        <v>40345</v>
      </c>
      <c r="H281" s="381"/>
      <c r="I281" s="382"/>
      <c r="J281" s="382"/>
      <c r="K281" s="382"/>
      <c r="L281" s="382"/>
      <c r="M281" s="382"/>
      <c r="N281" s="234"/>
      <c r="O281" s="234"/>
    </row>
    <row r="282" spans="1:15" x14ac:dyDescent="0.2">
      <c r="A282" s="121" t="s">
        <v>1540</v>
      </c>
      <c r="B282" s="121" t="s">
        <v>1067</v>
      </c>
      <c r="C282" s="121" t="s">
        <v>1068</v>
      </c>
      <c r="D282" s="121" t="s">
        <v>802</v>
      </c>
      <c r="E282" s="121" t="s">
        <v>365</v>
      </c>
      <c r="F282" s="380">
        <v>40459</v>
      </c>
      <c r="H282" s="381"/>
      <c r="I282" s="382"/>
      <c r="J282" s="382"/>
      <c r="K282" s="382"/>
      <c r="L282" s="382"/>
      <c r="M282" s="382"/>
      <c r="N282" s="234"/>
      <c r="O282" s="234"/>
    </row>
    <row r="283" spans="1:15" x14ac:dyDescent="0.2">
      <c r="A283" s="121" t="s">
        <v>1541</v>
      </c>
      <c r="B283" s="121" t="s">
        <v>225</v>
      </c>
      <c r="C283" s="121" t="s">
        <v>830</v>
      </c>
      <c r="D283" s="121" t="s">
        <v>154</v>
      </c>
      <c r="E283" s="121" t="s">
        <v>154</v>
      </c>
      <c r="F283" s="380">
        <v>40498</v>
      </c>
      <c r="H283" s="381"/>
      <c r="I283" s="382"/>
      <c r="J283" s="382"/>
      <c r="K283" s="382"/>
      <c r="L283" s="382"/>
      <c r="M283" s="382"/>
      <c r="N283" s="234"/>
      <c r="O283" s="234"/>
    </row>
    <row r="284" spans="1:15" x14ac:dyDescent="0.2">
      <c r="A284" s="121" t="s">
        <v>1542</v>
      </c>
      <c r="B284" s="121" t="s">
        <v>226</v>
      </c>
      <c r="C284" s="121" t="s">
        <v>227</v>
      </c>
      <c r="D284" s="121" t="s">
        <v>802</v>
      </c>
      <c r="E284" s="121" t="s">
        <v>356</v>
      </c>
      <c r="F284" s="380">
        <v>40632</v>
      </c>
      <c r="H284" s="381"/>
      <c r="I284" s="382"/>
      <c r="J284" s="382"/>
      <c r="K284" s="382"/>
      <c r="L284" s="382"/>
      <c r="M284" s="382"/>
      <c r="N284" s="234"/>
      <c r="O284" s="234"/>
    </row>
    <row r="285" spans="1:15" x14ac:dyDescent="0.2">
      <c r="A285" s="121" t="s">
        <v>1543</v>
      </c>
      <c r="B285" s="121" t="s">
        <v>228</v>
      </c>
      <c r="C285" s="121" t="s">
        <v>229</v>
      </c>
      <c r="D285" s="121" t="s">
        <v>802</v>
      </c>
      <c r="E285" s="121" t="s">
        <v>356</v>
      </c>
      <c r="F285" s="380">
        <v>41163</v>
      </c>
      <c r="H285" s="381"/>
      <c r="I285" s="382"/>
      <c r="J285" s="382"/>
      <c r="K285" s="382"/>
      <c r="L285" s="382"/>
      <c r="M285" s="382"/>
      <c r="N285" s="234"/>
      <c r="O285" s="234"/>
    </row>
    <row r="286" spans="1:15" x14ac:dyDescent="0.2">
      <c r="A286" s="121" t="s">
        <v>1544</v>
      </c>
      <c r="B286" s="121" t="s">
        <v>230</v>
      </c>
      <c r="C286" s="121" t="s">
        <v>231</v>
      </c>
      <c r="D286" s="121" t="s">
        <v>802</v>
      </c>
      <c r="E286" s="121" t="s">
        <v>364</v>
      </c>
      <c r="F286" s="380">
        <v>40620</v>
      </c>
      <c r="H286" s="381"/>
      <c r="I286" s="382"/>
      <c r="J286" s="382"/>
      <c r="K286" s="382"/>
      <c r="L286" s="382"/>
      <c r="M286" s="382"/>
      <c r="N286" s="234"/>
      <c r="O286" s="234"/>
    </row>
    <row r="287" spans="1:15" x14ac:dyDescent="0.2">
      <c r="A287" s="121" t="s">
        <v>1545</v>
      </c>
      <c r="B287" s="121" t="s">
        <v>232</v>
      </c>
      <c r="C287" s="121" t="s">
        <v>795</v>
      </c>
      <c r="D287" s="121" t="s">
        <v>802</v>
      </c>
      <c r="E287" s="121" t="s">
        <v>364</v>
      </c>
      <c r="F287" s="380">
        <v>40736</v>
      </c>
      <c r="H287" s="381"/>
      <c r="I287" s="382"/>
      <c r="J287" s="382"/>
      <c r="K287" s="382"/>
      <c r="L287" s="382"/>
      <c r="M287" s="382"/>
      <c r="N287" s="234"/>
      <c r="O287" s="234"/>
    </row>
    <row r="288" spans="1:15" x14ac:dyDescent="0.2">
      <c r="A288" s="121" t="s">
        <v>1546</v>
      </c>
      <c r="B288" s="121" t="s">
        <v>233</v>
      </c>
      <c r="C288" s="121" t="s">
        <v>1107</v>
      </c>
      <c r="D288" s="121" t="s">
        <v>802</v>
      </c>
      <c r="E288" s="121" t="s">
        <v>358</v>
      </c>
      <c r="F288" s="380">
        <v>40716</v>
      </c>
      <c r="H288" s="381"/>
      <c r="I288" s="382"/>
      <c r="J288" s="382"/>
      <c r="K288" s="382"/>
      <c r="L288" s="382"/>
      <c r="M288" s="382"/>
      <c r="N288" s="234"/>
      <c r="O288" s="234"/>
    </row>
    <row r="289" spans="1:15" x14ac:dyDescent="0.2">
      <c r="A289" s="121" t="s">
        <v>1547</v>
      </c>
      <c r="B289" s="121" t="s">
        <v>234</v>
      </c>
      <c r="C289" s="121" t="s">
        <v>796</v>
      </c>
      <c r="D289" s="121" t="s">
        <v>802</v>
      </c>
      <c r="E289" s="121" t="s">
        <v>367</v>
      </c>
      <c r="F289" s="380">
        <v>40925</v>
      </c>
      <c r="H289" s="381"/>
      <c r="I289" s="382"/>
      <c r="J289" s="382"/>
      <c r="K289" s="382"/>
      <c r="L289" s="382"/>
      <c r="M289" s="382"/>
      <c r="N289" s="234"/>
      <c r="O289" s="234"/>
    </row>
    <row r="290" spans="1:15" x14ac:dyDescent="0.2">
      <c r="A290" s="121" t="s">
        <v>1548</v>
      </c>
      <c r="B290" s="121" t="s">
        <v>235</v>
      </c>
      <c r="C290" s="121" t="s">
        <v>236</v>
      </c>
      <c r="D290" s="121" t="s">
        <v>802</v>
      </c>
      <c r="E290" s="121" t="s">
        <v>357</v>
      </c>
      <c r="F290" s="380">
        <v>41033</v>
      </c>
      <c r="H290" s="381"/>
      <c r="I290" s="382"/>
      <c r="J290" s="382"/>
      <c r="K290" s="382"/>
      <c r="L290" s="382"/>
      <c r="M290" s="382"/>
      <c r="N290" s="234"/>
      <c r="O290" s="234"/>
    </row>
    <row r="291" spans="1:15" x14ac:dyDescent="0.2">
      <c r="A291" s="121" t="s">
        <v>1549</v>
      </c>
      <c r="B291" s="121" t="s">
        <v>831</v>
      </c>
      <c r="C291" s="121" t="s">
        <v>237</v>
      </c>
      <c r="D291" s="121" t="s">
        <v>370</v>
      </c>
      <c r="E291" s="121" t="s">
        <v>370</v>
      </c>
      <c r="F291" s="380">
        <v>41144</v>
      </c>
      <c r="H291" s="381"/>
      <c r="I291" s="382"/>
      <c r="J291" s="382"/>
      <c r="K291" s="382"/>
      <c r="L291" s="382"/>
      <c r="M291" s="382"/>
      <c r="N291" s="234"/>
      <c r="O291" s="234"/>
    </row>
    <row r="292" spans="1:15" x14ac:dyDescent="0.2">
      <c r="A292" s="121" t="s">
        <v>1550</v>
      </c>
      <c r="B292" s="121" t="s">
        <v>238</v>
      </c>
      <c r="C292" s="121" t="s">
        <v>10</v>
      </c>
      <c r="D292" s="121" t="s">
        <v>802</v>
      </c>
      <c r="E292" s="121" t="s">
        <v>361</v>
      </c>
      <c r="F292" s="380">
        <v>41173</v>
      </c>
      <c r="H292" s="381"/>
      <c r="I292" s="382"/>
      <c r="J292" s="382"/>
      <c r="K292" s="382"/>
      <c r="L292" s="382"/>
      <c r="M292" s="382"/>
      <c r="N292" s="234"/>
      <c r="O292" s="234"/>
    </row>
    <row r="293" spans="1:15" x14ac:dyDescent="0.2">
      <c r="A293" s="121" t="s">
        <v>1551</v>
      </c>
      <c r="B293" s="121" t="s">
        <v>866</v>
      </c>
      <c r="C293" s="121" t="s">
        <v>239</v>
      </c>
      <c r="D293" s="121" t="s">
        <v>370</v>
      </c>
      <c r="E293" s="121" t="s">
        <v>370</v>
      </c>
      <c r="F293" s="380">
        <v>41240</v>
      </c>
      <c r="H293" s="381"/>
      <c r="I293" s="382"/>
      <c r="J293" s="382"/>
      <c r="K293" s="382"/>
      <c r="L293" s="382"/>
      <c r="M293" s="382"/>
      <c r="N293" s="234"/>
      <c r="O293" s="234"/>
    </row>
    <row r="294" spans="1:15" x14ac:dyDescent="0.2">
      <c r="A294" s="121" t="s">
        <v>1552</v>
      </c>
      <c r="B294" s="121" t="s">
        <v>240</v>
      </c>
      <c r="C294" s="121" t="s">
        <v>241</v>
      </c>
      <c r="D294" s="121" t="s">
        <v>802</v>
      </c>
      <c r="E294" s="121" t="s">
        <v>364</v>
      </c>
      <c r="F294" s="380">
        <v>41375</v>
      </c>
      <c r="H294" s="381"/>
      <c r="I294" s="382"/>
      <c r="J294" s="382"/>
      <c r="K294" s="382"/>
      <c r="L294" s="382"/>
      <c r="M294" s="382"/>
      <c r="N294" s="234"/>
      <c r="O294" s="234"/>
    </row>
    <row r="295" spans="1:15" x14ac:dyDescent="0.2">
      <c r="A295" s="121" t="s">
        <v>1553</v>
      </c>
      <c r="B295" s="121" t="s">
        <v>832</v>
      </c>
      <c r="C295" s="121" t="s">
        <v>242</v>
      </c>
      <c r="D295" s="121" t="s">
        <v>802</v>
      </c>
      <c r="E295" s="121" t="s">
        <v>364</v>
      </c>
      <c r="F295" s="380">
        <v>41108</v>
      </c>
      <c r="H295" s="381"/>
      <c r="I295" s="382"/>
      <c r="J295" s="382"/>
      <c r="K295" s="382"/>
      <c r="L295" s="382"/>
      <c r="M295" s="382"/>
      <c r="N295" s="234"/>
      <c r="O295" s="234"/>
    </row>
    <row r="296" spans="1:15" x14ac:dyDescent="0.2">
      <c r="A296" s="121" t="s">
        <v>1554</v>
      </c>
      <c r="B296" s="121" t="s">
        <v>11</v>
      </c>
      <c r="C296" s="121" t="s">
        <v>243</v>
      </c>
      <c r="D296" s="121" t="s">
        <v>802</v>
      </c>
      <c r="E296" s="121" t="s">
        <v>363</v>
      </c>
      <c r="F296" s="380">
        <v>41192</v>
      </c>
      <c r="H296" s="381"/>
      <c r="I296" s="382"/>
      <c r="J296" s="382"/>
      <c r="K296" s="382"/>
      <c r="L296" s="382"/>
      <c r="M296" s="382"/>
      <c r="N296" s="234"/>
      <c r="O296" s="234"/>
    </row>
    <row r="297" spans="1:15" x14ac:dyDescent="0.2">
      <c r="A297" s="121" t="s">
        <v>1555</v>
      </c>
      <c r="B297" s="121" t="s">
        <v>244</v>
      </c>
      <c r="C297" s="121" t="s">
        <v>245</v>
      </c>
      <c r="D297" s="121" t="s">
        <v>802</v>
      </c>
      <c r="E297" s="121" t="s">
        <v>361</v>
      </c>
      <c r="F297" s="380">
        <v>41221</v>
      </c>
      <c r="H297" s="381"/>
      <c r="I297" s="382"/>
      <c r="J297" s="382"/>
      <c r="K297" s="382"/>
      <c r="L297" s="382"/>
      <c r="M297" s="382"/>
      <c r="N297" s="234"/>
      <c r="O297" s="234"/>
    </row>
    <row r="298" spans="1:15" x14ac:dyDescent="0.2">
      <c r="A298" s="121" t="s">
        <v>1556</v>
      </c>
      <c r="B298" s="121" t="s">
        <v>246</v>
      </c>
      <c r="C298" s="121" t="s">
        <v>12</v>
      </c>
      <c r="D298" s="121" t="s">
        <v>802</v>
      </c>
      <c r="E298" s="121" t="s">
        <v>361</v>
      </c>
      <c r="F298" s="380">
        <v>41233</v>
      </c>
      <c r="H298" s="381"/>
      <c r="I298" s="382"/>
      <c r="J298" s="382"/>
      <c r="K298" s="382"/>
      <c r="L298" s="382"/>
      <c r="M298" s="382"/>
      <c r="N298" s="234"/>
      <c r="O298" s="234"/>
    </row>
    <row r="299" spans="1:15" x14ac:dyDescent="0.2">
      <c r="A299" s="121" t="s">
        <v>1557</v>
      </c>
      <c r="B299" s="121" t="s">
        <v>13</v>
      </c>
      <c r="C299" s="121" t="s">
        <v>14</v>
      </c>
      <c r="D299" s="121" t="s">
        <v>802</v>
      </c>
      <c r="E299" s="121" t="s">
        <v>357</v>
      </c>
      <c r="F299" s="380">
        <v>41334</v>
      </c>
      <c r="H299" s="381"/>
      <c r="I299" s="382"/>
      <c r="J299" s="382"/>
      <c r="K299" s="382"/>
      <c r="L299" s="382"/>
      <c r="M299" s="382"/>
      <c r="N299" s="234"/>
      <c r="O299" s="234"/>
    </row>
    <row r="300" spans="1:15" x14ac:dyDescent="0.2">
      <c r="A300" s="121" t="s">
        <v>1558</v>
      </c>
      <c r="B300" s="121" t="s">
        <v>679</v>
      </c>
      <c r="C300" s="121" t="s">
        <v>797</v>
      </c>
      <c r="D300" s="121" t="s">
        <v>802</v>
      </c>
      <c r="E300" s="121" t="s">
        <v>358</v>
      </c>
      <c r="F300" s="380">
        <v>41313</v>
      </c>
      <c r="H300" s="381"/>
      <c r="I300" s="382"/>
      <c r="J300" s="382"/>
      <c r="K300" s="382"/>
      <c r="L300" s="382"/>
      <c r="M300" s="382"/>
      <c r="N300" s="234"/>
      <c r="O300" s="234"/>
    </row>
    <row r="301" spans="1:15" x14ac:dyDescent="0.2">
      <c r="A301" s="121" t="s">
        <v>1559</v>
      </c>
      <c r="B301" s="121" t="s">
        <v>15</v>
      </c>
      <c r="C301" s="121" t="s">
        <v>576</v>
      </c>
      <c r="D301" s="121" t="s">
        <v>802</v>
      </c>
      <c r="E301" s="121" t="s">
        <v>355</v>
      </c>
      <c r="F301" s="380">
        <v>38468</v>
      </c>
      <c r="H301" s="381"/>
      <c r="I301" s="382"/>
      <c r="J301" s="382"/>
      <c r="K301" s="382"/>
      <c r="L301" s="382"/>
      <c r="M301" s="382"/>
      <c r="N301" s="234"/>
      <c r="O301" s="234"/>
    </row>
    <row r="302" spans="1:15" x14ac:dyDescent="0.2">
      <c r="A302" s="121" t="s">
        <v>1560</v>
      </c>
      <c r="B302" s="121" t="s">
        <v>680</v>
      </c>
      <c r="C302" s="121" t="s">
        <v>16</v>
      </c>
      <c r="D302" s="121" t="s">
        <v>802</v>
      </c>
      <c r="E302" s="121" t="s">
        <v>362</v>
      </c>
      <c r="F302" s="380">
        <v>41373</v>
      </c>
      <c r="H302" s="381"/>
      <c r="I302" s="382"/>
      <c r="J302" s="382"/>
      <c r="K302" s="382"/>
      <c r="L302" s="382"/>
      <c r="M302" s="382"/>
      <c r="N302" s="234"/>
      <c r="O302" s="234"/>
    </row>
    <row r="303" spans="1:15" x14ac:dyDescent="0.2">
      <c r="A303" s="121" t="s">
        <v>1561</v>
      </c>
      <c r="B303" s="121" t="s">
        <v>681</v>
      </c>
      <c r="C303" s="121" t="s">
        <v>798</v>
      </c>
      <c r="D303" s="121" t="s">
        <v>802</v>
      </c>
      <c r="E303" s="121" t="s">
        <v>355</v>
      </c>
      <c r="F303" s="380">
        <v>41611</v>
      </c>
      <c r="H303" s="381"/>
      <c r="I303" s="382"/>
      <c r="J303" s="382"/>
      <c r="K303" s="382"/>
      <c r="L303" s="382"/>
      <c r="M303" s="382"/>
      <c r="N303" s="234"/>
      <c r="O303" s="234"/>
    </row>
    <row r="304" spans="1:15" x14ac:dyDescent="0.2">
      <c r="A304" s="121" t="s">
        <v>1562</v>
      </c>
      <c r="B304" s="121" t="s">
        <v>682</v>
      </c>
      <c r="C304" s="121" t="s">
        <v>41</v>
      </c>
      <c r="D304" s="121" t="s">
        <v>802</v>
      </c>
      <c r="E304" s="121" t="s">
        <v>356</v>
      </c>
      <c r="F304" s="380">
        <v>41562</v>
      </c>
      <c r="H304" s="381"/>
      <c r="I304" s="382"/>
      <c r="J304" s="382"/>
      <c r="K304" s="382"/>
      <c r="L304" s="382"/>
      <c r="M304" s="382"/>
      <c r="N304" s="234"/>
      <c r="O304" s="234"/>
    </row>
    <row r="305" spans="1:15" x14ac:dyDescent="0.2">
      <c r="A305" s="121" t="s">
        <v>1563</v>
      </c>
      <c r="B305" s="121" t="s">
        <v>674</v>
      </c>
      <c r="C305" s="121" t="s">
        <v>675</v>
      </c>
      <c r="D305" s="121" t="s">
        <v>802</v>
      </c>
      <c r="E305" s="121" t="s">
        <v>365</v>
      </c>
      <c r="F305" s="380">
        <v>41786</v>
      </c>
      <c r="H305" s="381"/>
      <c r="I305" s="382"/>
      <c r="J305" s="382"/>
      <c r="K305" s="382"/>
      <c r="L305" s="382"/>
      <c r="M305" s="382"/>
      <c r="N305" s="234"/>
      <c r="O305" s="234"/>
    </row>
    <row r="306" spans="1:15" x14ac:dyDescent="0.2">
      <c r="A306" s="121" t="s">
        <v>1564</v>
      </c>
      <c r="B306" s="121" t="s">
        <v>1164</v>
      </c>
      <c r="C306" s="121" t="s">
        <v>1165</v>
      </c>
      <c r="D306" s="121" t="s">
        <v>802</v>
      </c>
      <c r="E306" s="121" t="s">
        <v>356</v>
      </c>
      <c r="F306" s="380">
        <v>44832</v>
      </c>
      <c r="H306" s="381"/>
      <c r="I306" s="382"/>
      <c r="J306" s="382"/>
      <c r="K306" s="382"/>
      <c r="L306" s="382"/>
      <c r="M306" s="382"/>
      <c r="N306" s="234"/>
      <c r="O306" s="234"/>
    </row>
    <row r="307" spans="1:15" x14ac:dyDescent="0.2">
      <c r="A307" s="121" t="s">
        <v>1565</v>
      </c>
      <c r="B307" s="121" t="s">
        <v>698</v>
      </c>
      <c r="C307" s="121" t="s">
        <v>699</v>
      </c>
      <c r="D307" s="121" t="s">
        <v>802</v>
      </c>
      <c r="E307" s="121" t="s">
        <v>356</v>
      </c>
      <c r="F307" s="380">
        <v>41913</v>
      </c>
      <c r="H307" s="381"/>
      <c r="I307" s="382"/>
      <c r="J307" s="382"/>
      <c r="K307" s="382"/>
      <c r="L307" s="382"/>
      <c r="M307" s="382"/>
      <c r="N307" s="234"/>
      <c r="O307" s="234"/>
    </row>
    <row r="308" spans="1:15" x14ac:dyDescent="0.2">
      <c r="A308" s="121" t="s">
        <v>1566</v>
      </c>
      <c r="B308" s="121" t="s">
        <v>700</v>
      </c>
      <c r="C308" s="121" t="s">
        <v>1166</v>
      </c>
      <c r="D308" s="121" t="s">
        <v>802</v>
      </c>
      <c r="E308" s="121" t="s">
        <v>364</v>
      </c>
      <c r="F308" s="380">
        <v>41956</v>
      </c>
      <c r="H308" s="381"/>
      <c r="I308" s="382"/>
      <c r="J308" s="382"/>
      <c r="K308" s="382"/>
      <c r="L308" s="382"/>
      <c r="M308" s="382"/>
      <c r="N308" s="234"/>
      <c r="O308" s="234"/>
    </row>
    <row r="309" spans="1:15" x14ac:dyDescent="0.2">
      <c r="A309" s="121" t="s">
        <v>1567</v>
      </c>
      <c r="B309" s="121" t="s">
        <v>701</v>
      </c>
      <c r="C309" s="121" t="s">
        <v>799</v>
      </c>
      <c r="D309" s="121" t="s">
        <v>802</v>
      </c>
      <c r="E309" s="121" t="s">
        <v>361</v>
      </c>
      <c r="F309" s="380">
        <v>39394</v>
      </c>
      <c r="H309" s="381"/>
      <c r="I309" s="382"/>
      <c r="J309" s="382"/>
      <c r="K309" s="382"/>
      <c r="L309" s="382"/>
      <c r="M309" s="382"/>
      <c r="N309" s="234"/>
      <c r="O309" s="234"/>
    </row>
    <row r="310" spans="1:15" x14ac:dyDescent="0.2">
      <c r="A310" s="121" t="s">
        <v>1568</v>
      </c>
      <c r="B310" s="121" t="s">
        <v>730</v>
      </c>
      <c r="C310" s="121" t="s">
        <v>731</v>
      </c>
      <c r="D310" s="121" t="s">
        <v>802</v>
      </c>
      <c r="E310" s="121" t="s">
        <v>360</v>
      </c>
      <c r="F310" s="380">
        <v>41992</v>
      </c>
      <c r="H310" s="381"/>
      <c r="I310" s="382"/>
      <c r="J310" s="382"/>
      <c r="K310" s="382"/>
      <c r="L310" s="382"/>
      <c r="M310" s="382"/>
      <c r="N310" s="234"/>
      <c r="O310" s="234"/>
    </row>
    <row r="311" spans="1:15" x14ac:dyDescent="0.2">
      <c r="A311" s="121" t="s">
        <v>1569</v>
      </c>
      <c r="B311" s="121" t="s">
        <v>741</v>
      </c>
      <c r="C311" s="121" t="s">
        <v>742</v>
      </c>
      <c r="D311" s="121" t="s">
        <v>802</v>
      </c>
      <c r="E311" s="121" t="s">
        <v>364</v>
      </c>
      <c r="F311" s="380">
        <v>42082</v>
      </c>
      <c r="H311" s="381"/>
      <c r="I311" s="382"/>
      <c r="J311" s="382"/>
      <c r="K311" s="382"/>
      <c r="L311" s="382"/>
      <c r="M311" s="382"/>
      <c r="N311" s="234"/>
      <c r="O311" s="234"/>
    </row>
    <row r="312" spans="1:15" x14ac:dyDescent="0.2">
      <c r="A312" s="121" t="s">
        <v>1570</v>
      </c>
      <c r="B312" s="121" t="s">
        <v>732</v>
      </c>
      <c r="C312" s="121" t="s">
        <v>733</v>
      </c>
      <c r="D312" s="121" t="s">
        <v>370</v>
      </c>
      <c r="E312" s="121" t="s">
        <v>370</v>
      </c>
      <c r="F312" s="380">
        <v>42129</v>
      </c>
      <c r="H312" s="381"/>
      <c r="I312" s="382"/>
      <c r="J312" s="382"/>
      <c r="K312" s="382"/>
      <c r="L312" s="382"/>
      <c r="M312" s="382"/>
      <c r="N312" s="234"/>
      <c r="O312" s="234"/>
    </row>
    <row r="313" spans="1:15" x14ac:dyDescent="0.2">
      <c r="A313" s="121" t="s">
        <v>1571</v>
      </c>
      <c r="B313" s="121" t="s">
        <v>1292</v>
      </c>
      <c r="C313" s="121" t="s">
        <v>800</v>
      </c>
      <c r="D313" s="121" t="s">
        <v>370</v>
      </c>
      <c r="E313" s="121" t="s">
        <v>370</v>
      </c>
      <c r="F313" s="380">
        <v>42174</v>
      </c>
      <c r="H313" s="381"/>
      <c r="I313" s="382"/>
      <c r="J313" s="382"/>
      <c r="K313" s="382"/>
      <c r="L313" s="382"/>
      <c r="M313" s="382"/>
      <c r="N313" s="234"/>
      <c r="O313" s="234"/>
    </row>
    <row r="314" spans="1:15" x14ac:dyDescent="0.2">
      <c r="A314" s="121" t="s">
        <v>1572</v>
      </c>
      <c r="B314" s="121" t="s">
        <v>1292</v>
      </c>
      <c r="C314" s="121" t="s">
        <v>1111</v>
      </c>
      <c r="D314" s="121" t="s">
        <v>370</v>
      </c>
      <c r="E314" s="121" t="s">
        <v>370</v>
      </c>
      <c r="F314" s="380">
        <v>44524</v>
      </c>
      <c r="H314" s="381"/>
      <c r="I314" s="382"/>
      <c r="J314" s="382"/>
      <c r="K314" s="382"/>
      <c r="L314" s="382"/>
      <c r="M314" s="382"/>
      <c r="N314" s="234"/>
      <c r="O314" s="234"/>
    </row>
    <row r="315" spans="1:15" x14ac:dyDescent="0.2">
      <c r="A315" s="121" t="s">
        <v>1573</v>
      </c>
      <c r="B315" s="121" t="s">
        <v>801</v>
      </c>
      <c r="C315" s="121" t="s">
        <v>1108</v>
      </c>
      <c r="D315" s="121" t="s">
        <v>370</v>
      </c>
      <c r="E315" s="121" t="s">
        <v>370</v>
      </c>
      <c r="F315" s="380">
        <v>42328</v>
      </c>
      <c r="H315" s="381"/>
      <c r="I315" s="382"/>
      <c r="J315" s="382"/>
      <c r="K315" s="382"/>
      <c r="L315" s="382"/>
      <c r="M315" s="382"/>
      <c r="N315" s="234"/>
      <c r="O315" s="234"/>
    </row>
    <row r="316" spans="1:15" x14ac:dyDescent="0.2">
      <c r="A316" s="121" t="s">
        <v>1574</v>
      </c>
      <c r="B316" s="121" t="s">
        <v>1293</v>
      </c>
      <c r="C316" s="121" t="s">
        <v>1294</v>
      </c>
      <c r="D316" s="121" t="s">
        <v>802</v>
      </c>
      <c r="E316" s="121" t="s">
        <v>364</v>
      </c>
      <c r="F316" s="380">
        <v>42481</v>
      </c>
      <c r="H316" s="381"/>
      <c r="I316" s="382"/>
      <c r="J316" s="382"/>
      <c r="K316" s="382"/>
      <c r="L316" s="382"/>
      <c r="M316" s="382"/>
      <c r="N316" s="234"/>
      <c r="O316" s="234"/>
    </row>
    <row r="317" spans="1:15" x14ac:dyDescent="0.2">
      <c r="A317" s="121" t="s">
        <v>1575</v>
      </c>
      <c r="B317" s="121" t="s">
        <v>1069</v>
      </c>
      <c r="C317" s="121" t="s">
        <v>1070</v>
      </c>
      <c r="D317" s="121" t="s">
        <v>802</v>
      </c>
      <c r="E317" s="121" t="s">
        <v>355</v>
      </c>
      <c r="F317" s="380">
        <v>42486</v>
      </c>
      <c r="H317" s="381"/>
      <c r="I317" s="382"/>
      <c r="J317" s="382"/>
      <c r="K317" s="382"/>
      <c r="L317" s="382"/>
      <c r="M317" s="382"/>
      <c r="N317" s="234"/>
      <c r="O317" s="234"/>
    </row>
    <row r="318" spans="1:15" x14ac:dyDescent="0.2">
      <c r="A318" s="121" t="s">
        <v>1576</v>
      </c>
      <c r="B318" s="121" t="s">
        <v>1109</v>
      </c>
      <c r="C318" s="121" t="s">
        <v>1110</v>
      </c>
      <c r="D318" s="121" t="s">
        <v>802</v>
      </c>
      <c r="E318" s="121" t="s">
        <v>363</v>
      </c>
      <c r="F318" s="380">
        <v>43090</v>
      </c>
      <c r="H318" s="381"/>
      <c r="I318" s="382"/>
      <c r="J318" s="382"/>
      <c r="K318" s="382"/>
      <c r="L318" s="382"/>
      <c r="M318" s="382"/>
      <c r="N318" s="234"/>
      <c r="O318" s="234"/>
    </row>
    <row r="319" spans="1:15" x14ac:dyDescent="0.2">
      <c r="A319" s="121" t="s">
        <v>1577</v>
      </c>
      <c r="B319" s="121" t="s">
        <v>867</v>
      </c>
      <c r="C319" s="121" t="s">
        <v>833</v>
      </c>
      <c r="D319" s="121" t="s">
        <v>370</v>
      </c>
      <c r="E319" s="121" t="s">
        <v>370</v>
      </c>
      <c r="F319" s="380">
        <v>42867</v>
      </c>
      <c r="H319" s="381"/>
      <c r="I319" s="382"/>
      <c r="J319" s="382"/>
      <c r="K319" s="382"/>
      <c r="L319" s="382"/>
      <c r="M319" s="382"/>
      <c r="N319" s="234"/>
      <c r="O319" s="234"/>
    </row>
    <row r="320" spans="1:15" x14ac:dyDescent="0.2">
      <c r="A320" s="121" t="s">
        <v>1578</v>
      </c>
      <c r="B320" s="121" t="s">
        <v>868</v>
      </c>
      <c r="C320" s="121" t="s">
        <v>869</v>
      </c>
      <c r="D320" s="121" t="s">
        <v>802</v>
      </c>
      <c r="E320" s="121" t="s">
        <v>306</v>
      </c>
      <c r="F320" s="380">
        <v>42809</v>
      </c>
      <c r="H320" s="381"/>
      <c r="I320" s="382"/>
      <c r="J320" s="382"/>
      <c r="K320" s="382"/>
      <c r="L320" s="382"/>
      <c r="M320" s="382"/>
      <c r="N320" s="234"/>
      <c r="O320" s="234"/>
    </row>
    <row r="321" spans="1:15" x14ac:dyDescent="0.2">
      <c r="A321" s="121" t="s">
        <v>1579</v>
      </c>
      <c r="B321" s="121" t="s">
        <v>910</v>
      </c>
      <c r="C321" s="121" t="s">
        <v>870</v>
      </c>
      <c r="D321" s="121" t="s">
        <v>370</v>
      </c>
      <c r="E321" s="121" t="s">
        <v>370</v>
      </c>
      <c r="F321" s="380">
        <v>42993</v>
      </c>
      <c r="H321" s="381"/>
      <c r="I321" s="382"/>
      <c r="J321" s="382"/>
      <c r="K321" s="382"/>
      <c r="L321" s="382"/>
      <c r="M321" s="382"/>
      <c r="N321" s="234"/>
      <c r="O321" s="234"/>
    </row>
    <row r="322" spans="1:15" x14ac:dyDescent="0.2">
      <c r="A322" s="121" t="s">
        <v>1580</v>
      </c>
      <c r="B322" s="121" t="s">
        <v>1295</v>
      </c>
      <c r="C322" s="121" t="s">
        <v>871</v>
      </c>
      <c r="D322" s="121" t="s">
        <v>370</v>
      </c>
      <c r="E322" s="121" t="s">
        <v>370</v>
      </c>
      <c r="F322" s="380">
        <v>43041</v>
      </c>
      <c r="H322" s="381"/>
      <c r="I322" s="382"/>
      <c r="J322" s="382"/>
      <c r="K322" s="382"/>
      <c r="L322" s="382"/>
      <c r="M322" s="382"/>
      <c r="N322" s="234"/>
      <c r="O322" s="234"/>
    </row>
    <row r="323" spans="1:15" x14ac:dyDescent="0.2">
      <c r="A323" s="121" t="s">
        <v>1581</v>
      </c>
      <c r="B323" s="121" t="s">
        <v>911</v>
      </c>
      <c r="C323" s="121" t="s">
        <v>912</v>
      </c>
      <c r="D323" s="121" t="s">
        <v>802</v>
      </c>
      <c r="E323" s="121" t="s">
        <v>356</v>
      </c>
      <c r="F323" s="380">
        <v>43238</v>
      </c>
      <c r="H323" s="381"/>
      <c r="I323" s="382"/>
      <c r="J323" s="382"/>
      <c r="K323" s="382"/>
      <c r="L323" s="382"/>
      <c r="M323" s="382"/>
      <c r="N323" s="234"/>
      <c r="O323" s="234"/>
    </row>
    <row r="324" spans="1:15" x14ac:dyDescent="0.2">
      <c r="A324" s="121" t="s">
        <v>1582</v>
      </c>
      <c r="B324" s="121" t="s">
        <v>1296</v>
      </c>
      <c r="C324" s="121" t="s">
        <v>1297</v>
      </c>
      <c r="D324" s="121" t="s">
        <v>802</v>
      </c>
      <c r="E324" s="121" t="s">
        <v>358</v>
      </c>
      <c r="F324" s="380">
        <v>43417</v>
      </c>
      <c r="H324" s="381"/>
      <c r="I324" s="382"/>
      <c r="J324" s="382"/>
      <c r="K324" s="382"/>
      <c r="L324" s="382"/>
      <c r="M324" s="382"/>
      <c r="N324" s="234"/>
      <c r="O324" s="234"/>
    </row>
    <row r="325" spans="1:15" x14ac:dyDescent="0.2">
      <c r="A325" s="121" t="s">
        <v>1583</v>
      </c>
      <c r="B325" s="121" t="s">
        <v>913</v>
      </c>
      <c r="C325" s="121" t="s">
        <v>914</v>
      </c>
      <c r="D325" s="121" t="s">
        <v>370</v>
      </c>
      <c r="E325" s="121" t="s">
        <v>370</v>
      </c>
      <c r="F325" s="380">
        <v>43396</v>
      </c>
      <c r="H325" s="381"/>
      <c r="I325" s="382"/>
      <c r="J325" s="382"/>
      <c r="K325" s="382"/>
      <c r="L325" s="382"/>
      <c r="M325" s="382"/>
      <c r="N325" s="234"/>
      <c r="O325" s="234"/>
    </row>
    <row r="326" spans="1:15" x14ac:dyDescent="0.2">
      <c r="A326" s="121" t="s">
        <v>1584</v>
      </c>
      <c r="B326" s="121" t="s">
        <v>915</v>
      </c>
      <c r="C326" s="121" t="s">
        <v>916</v>
      </c>
      <c r="D326" s="121" t="s">
        <v>802</v>
      </c>
      <c r="E326" s="121" t="s">
        <v>361</v>
      </c>
      <c r="F326" s="380">
        <v>43531</v>
      </c>
      <c r="H326" s="381"/>
      <c r="I326" s="382"/>
      <c r="J326" s="382"/>
      <c r="K326" s="382"/>
      <c r="L326" s="382"/>
      <c r="M326" s="382"/>
      <c r="N326" s="234"/>
      <c r="O326" s="234"/>
    </row>
    <row r="327" spans="1:15" x14ac:dyDescent="0.2">
      <c r="A327" s="121" t="s">
        <v>1585</v>
      </c>
      <c r="B327" s="121" t="s">
        <v>964</v>
      </c>
      <c r="C327" s="121" t="s">
        <v>965</v>
      </c>
      <c r="D327" s="121" t="s">
        <v>802</v>
      </c>
      <c r="E327" s="121" t="s">
        <v>356</v>
      </c>
      <c r="F327" s="380">
        <v>43725</v>
      </c>
      <c r="H327" s="381"/>
      <c r="I327" s="382"/>
      <c r="J327" s="382"/>
      <c r="K327" s="382"/>
      <c r="L327" s="382"/>
      <c r="M327" s="382"/>
      <c r="N327" s="234"/>
      <c r="O327" s="234"/>
    </row>
    <row r="328" spans="1:15" x14ac:dyDescent="0.2">
      <c r="A328" s="121" t="s">
        <v>1586</v>
      </c>
      <c r="B328" s="121" t="s">
        <v>966</v>
      </c>
      <c r="C328" s="121" t="s">
        <v>967</v>
      </c>
      <c r="D328" s="121" t="s">
        <v>370</v>
      </c>
      <c r="E328" s="121" t="s">
        <v>370</v>
      </c>
      <c r="F328" s="380">
        <v>43706</v>
      </c>
      <c r="H328" s="381"/>
      <c r="I328" s="382"/>
      <c r="J328" s="382"/>
      <c r="K328" s="382"/>
      <c r="L328" s="382"/>
      <c r="M328" s="382"/>
      <c r="N328" s="234"/>
      <c r="O328" s="234"/>
    </row>
    <row r="329" spans="1:15" x14ac:dyDescent="0.2">
      <c r="A329" s="121" t="s">
        <v>1587</v>
      </c>
      <c r="B329" s="121" t="s">
        <v>968</v>
      </c>
      <c r="C329" s="121" t="s">
        <v>969</v>
      </c>
      <c r="D329" s="121" t="s">
        <v>154</v>
      </c>
      <c r="E329" s="121" t="s">
        <v>154</v>
      </c>
      <c r="F329" s="380">
        <v>43655</v>
      </c>
      <c r="H329" s="381"/>
      <c r="I329" s="382"/>
      <c r="J329" s="382"/>
      <c r="K329" s="382"/>
      <c r="L329" s="382"/>
      <c r="M329" s="382"/>
      <c r="N329" s="234"/>
      <c r="O329" s="234"/>
    </row>
    <row r="330" spans="1:15" x14ac:dyDescent="0.2">
      <c r="A330" s="121" t="s">
        <v>1588</v>
      </c>
      <c r="B330" s="121" t="s">
        <v>970</v>
      </c>
      <c r="C330" s="121" t="s">
        <v>971</v>
      </c>
      <c r="D330" s="121" t="s">
        <v>802</v>
      </c>
      <c r="E330" s="121" t="s">
        <v>364</v>
      </c>
      <c r="F330" s="380">
        <v>43795</v>
      </c>
      <c r="H330" s="381"/>
      <c r="I330" s="382"/>
      <c r="J330" s="382"/>
      <c r="K330" s="382"/>
      <c r="L330" s="382"/>
      <c r="M330" s="382"/>
      <c r="N330" s="234"/>
      <c r="O330" s="234"/>
    </row>
    <row r="331" spans="1:15" x14ac:dyDescent="0.2">
      <c r="A331" s="121" t="s">
        <v>1589</v>
      </c>
      <c r="B331" s="121" t="s">
        <v>972</v>
      </c>
      <c r="C331" s="121" t="s">
        <v>973</v>
      </c>
      <c r="D331" s="121" t="s">
        <v>802</v>
      </c>
      <c r="E331" s="121" t="s">
        <v>364</v>
      </c>
      <c r="F331" s="380">
        <v>43768</v>
      </c>
      <c r="H331" s="381"/>
      <c r="I331" s="384"/>
      <c r="J331" s="384"/>
      <c r="K331" s="384"/>
      <c r="L331" s="384"/>
      <c r="M331" s="384"/>
      <c r="N331" s="383"/>
      <c r="O331" s="383"/>
    </row>
    <row r="332" spans="1:15" x14ac:dyDescent="0.2">
      <c r="A332" s="121" t="s">
        <v>1590</v>
      </c>
      <c r="B332" s="121" t="s">
        <v>1071</v>
      </c>
      <c r="C332" s="121" t="s">
        <v>1072</v>
      </c>
      <c r="D332" s="121" t="s">
        <v>370</v>
      </c>
      <c r="E332" s="121" t="s">
        <v>370</v>
      </c>
      <c r="F332" s="380">
        <v>44091</v>
      </c>
      <c r="H332" s="381"/>
      <c r="I332" s="382"/>
      <c r="J332" s="382"/>
      <c r="K332" s="382"/>
      <c r="L332" s="382"/>
      <c r="M332" s="382"/>
      <c r="N332" s="234"/>
      <c r="O332" s="234"/>
    </row>
    <row r="333" spans="1:15" x14ac:dyDescent="0.2">
      <c r="A333" s="121" t="s">
        <v>1591</v>
      </c>
      <c r="B333" s="121" t="s">
        <v>1073</v>
      </c>
      <c r="C333" s="121" t="s">
        <v>1074</v>
      </c>
      <c r="D333" s="121" t="s">
        <v>370</v>
      </c>
      <c r="E333" s="121" t="s">
        <v>370</v>
      </c>
      <c r="F333" s="380">
        <v>44152</v>
      </c>
      <c r="H333" s="381"/>
      <c r="I333" s="382"/>
      <c r="J333" s="382"/>
      <c r="K333" s="382"/>
      <c r="L333" s="382"/>
      <c r="M333" s="382"/>
      <c r="N333" s="234"/>
      <c r="O333" s="234"/>
    </row>
    <row r="334" spans="1:15" x14ac:dyDescent="0.2">
      <c r="A334" s="121" t="s">
        <v>1592</v>
      </c>
      <c r="B334" s="121" t="s">
        <v>1073</v>
      </c>
      <c r="C334" s="121" t="s">
        <v>1075</v>
      </c>
      <c r="D334" s="121" t="s">
        <v>370</v>
      </c>
      <c r="E334" s="121" t="s">
        <v>370</v>
      </c>
      <c r="F334" s="380">
        <v>44152</v>
      </c>
      <c r="H334" s="381"/>
      <c r="I334" s="382"/>
      <c r="J334" s="382"/>
      <c r="K334" s="382"/>
      <c r="L334" s="382"/>
      <c r="M334" s="382"/>
      <c r="N334" s="234"/>
      <c r="O334" s="234"/>
    </row>
    <row r="335" spans="1:15" x14ac:dyDescent="0.2">
      <c r="A335" s="121" t="s">
        <v>1593</v>
      </c>
      <c r="B335" s="121" t="s">
        <v>1076</v>
      </c>
      <c r="C335" s="121" t="s">
        <v>1077</v>
      </c>
      <c r="D335" s="121" t="s">
        <v>370</v>
      </c>
      <c r="E335" s="121" t="s">
        <v>370</v>
      </c>
      <c r="F335" s="380">
        <v>44089</v>
      </c>
      <c r="H335" s="381"/>
      <c r="I335" s="384"/>
      <c r="J335" s="384"/>
      <c r="K335" s="384"/>
      <c r="L335" s="384"/>
      <c r="M335" s="384"/>
      <c r="N335" s="383"/>
      <c r="O335" s="383"/>
    </row>
    <row r="336" spans="1:15" x14ac:dyDescent="0.2">
      <c r="A336" s="121" t="s">
        <v>1594</v>
      </c>
      <c r="B336" s="121" t="s">
        <v>1078</v>
      </c>
      <c r="C336" s="121" t="s">
        <v>1079</v>
      </c>
      <c r="D336" s="121" t="s">
        <v>802</v>
      </c>
      <c r="E336" s="121" t="s">
        <v>364</v>
      </c>
      <c r="F336" s="380">
        <v>44161</v>
      </c>
      <c r="H336" s="381"/>
      <c r="I336" s="384"/>
      <c r="J336" s="384"/>
      <c r="K336" s="384"/>
      <c r="L336" s="384"/>
      <c r="M336" s="384"/>
      <c r="N336" s="383"/>
      <c r="O336" s="383"/>
    </row>
    <row r="337" spans="1:15" x14ac:dyDescent="0.2">
      <c r="A337" s="121" t="s">
        <v>1595</v>
      </c>
      <c r="B337" s="121" t="s">
        <v>1084</v>
      </c>
      <c r="C337" s="121" t="s">
        <v>1085</v>
      </c>
      <c r="D337" s="121" t="s">
        <v>1090</v>
      </c>
      <c r="E337" s="121" t="s">
        <v>1090</v>
      </c>
      <c r="F337" s="380">
        <v>44299</v>
      </c>
      <c r="H337" s="381"/>
      <c r="I337" s="382"/>
      <c r="J337" s="382"/>
      <c r="K337" s="382"/>
      <c r="L337" s="382"/>
      <c r="M337" s="382"/>
      <c r="N337" s="234"/>
      <c r="O337" s="234"/>
    </row>
    <row r="338" spans="1:15" x14ac:dyDescent="0.2">
      <c r="A338" s="121" t="s">
        <v>1596</v>
      </c>
      <c r="B338" s="121" t="s">
        <v>1086</v>
      </c>
      <c r="C338" s="121" t="s">
        <v>1087</v>
      </c>
      <c r="D338" s="121" t="s">
        <v>802</v>
      </c>
      <c r="E338" s="121" t="s">
        <v>364</v>
      </c>
      <c r="F338" s="380">
        <v>44356</v>
      </c>
      <c r="H338" s="381"/>
      <c r="I338" s="384"/>
      <c r="J338" s="384"/>
      <c r="K338" s="384"/>
      <c r="L338" s="384"/>
      <c r="M338" s="384"/>
      <c r="N338" s="383"/>
      <c r="O338" s="383"/>
    </row>
    <row r="339" spans="1:15" x14ac:dyDescent="0.2">
      <c r="A339" s="121" t="s">
        <v>1597</v>
      </c>
      <c r="B339" s="121" t="s">
        <v>1088</v>
      </c>
      <c r="C339" s="121" t="s">
        <v>1089</v>
      </c>
      <c r="D339" s="121" t="s">
        <v>802</v>
      </c>
      <c r="E339" s="121" t="s">
        <v>356</v>
      </c>
      <c r="F339" s="380">
        <v>44428</v>
      </c>
      <c r="H339" s="381"/>
      <c r="I339" s="384"/>
      <c r="J339" s="384"/>
      <c r="K339" s="384"/>
      <c r="L339" s="384"/>
      <c r="M339" s="384"/>
      <c r="N339" s="383"/>
      <c r="O339" s="383"/>
    </row>
    <row r="340" spans="1:15" x14ac:dyDescent="0.2">
      <c r="A340" s="121" t="s">
        <v>1598</v>
      </c>
      <c r="B340" s="121" t="s">
        <v>1112</v>
      </c>
      <c r="C340" s="121" t="s">
        <v>1113</v>
      </c>
      <c r="D340" s="121" t="s">
        <v>370</v>
      </c>
      <c r="E340" s="121" t="s">
        <v>370</v>
      </c>
      <c r="F340" s="380">
        <v>44446</v>
      </c>
      <c r="H340" s="381"/>
      <c r="I340" s="384"/>
      <c r="J340" s="384"/>
      <c r="K340" s="384"/>
      <c r="L340" s="384"/>
      <c r="M340" s="384"/>
      <c r="N340" s="383"/>
      <c r="O340" s="383"/>
    </row>
    <row r="341" spans="1:15" x14ac:dyDescent="0.2">
      <c r="A341" s="121" t="s">
        <v>1599</v>
      </c>
      <c r="B341" s="121" t="s">
        <v>1114</v>
      </c>
      <c r="C341" s="121" t="s">
        <v>1115</v>
      </c>
      <c r="D341" s="121" t="s">
        <v>802</v>
      </c>
      <c r="E341" s="121" t="s">
        <v>364</v>
      </c>
      <c r="F341" s="380">
        <v>44537</v>
      </c>
      <c r="H341" s="381"/>
      <c r="I341" s="384"/>
      <c r="J341" s="384"/>
      <c r="K341" s="384"/>
      <c r="L341" s="384"/>
      <c r="M341" s="384"/>
      <c r="N341" s="383"/>
      <c r="O341" s="383"/>
    </row>
    <row r="342" spans="1:15" x14ac:dyDescent="0.2">
      <c r="A342" s="121" t="s">
        <v>1600</v>
      </c>
      <c r="B342" s="121" t="s">
        <v>1116</v>
      </c>
      <c r="C342" s="121" t="s">
        <v>1117</v>
      </c>
      <c r="D342" s="121" t="s">
        <v>802</v>
      </c>
      <c r="E342" s="121" t="s">
        <v>364</v>
      </c>
      <c r="F342" s="380">
        <v>44642</v>
      </c>
      <c r="H342" s="381"/>
      <c r="I342" s="384"/>
      <c r="J342" s="384"/>
      <c r="K342" s="384"/>
      <c r="L342" s="384"/>
      <c r="M342" s="384"/>
      <c r="N342" s="383"/>
      <c r="O342" s="383"/>
    </row>
    <row r="343" spans="1:15" s="385" customFormat="1" x14ac:dyDescent="0.2">
      <c r="A343" s="131" t="s">
        <v>1601</v>
      </c>
      <c r="B343" s="131" t="s">
        <v>1167</v>
      </c>
      <c r="C343" s="131" t="s">
        <v>1168</v>
      </c>
      <c r="D343" s="131" t="s">
        <v>370</v>
      </c>
      <c r="E343" s="131" t="s">
        <v>370</v>
      </c>
      <c r="F343" s="380">
        <v>44819</v>
      </c>
      <c r="G343" s="28"/>
      <c r="H343" s="381"/>
      <c r="I343" s="384"/>
      <c r="J343" s="384"/>
      <c r="K343" s="384"/>
      <c r="L343" s="384"/>
      <c r="M343" s="384"/>
      <c r="N343" s="383"/>
      <c r="O343" s="383"/>
    </row>
    <row r="344" spans="1:15" s="385" customFormat="1" x14ac:dyDescent="0.2">
      <c r="A344" s="131" t="s">
        <v>1602</v>
      </c>
      <c r="B344" s="131" t="s">
        <v>1298</v>
      </c>
      <c r="C344" s="131" t="s">
        <v>1299</v>
      </c>
      <c r="D344" s="131" t="s">
        <v>802</v>
      </c>
      <c r="E344" s="131" t="s">
        <v>364</v>
      </c>
      <c r="F344" s="386">
        <v>45188</v>
      </c>
      <c r="G344" s="28"/>
      <c r="H344" s="381"/>
      <c r="I344" s="384"/>
      <c r="J344" s="384"/>
      <c r="K344" s="384"/>
      <c r="L344" s="384"/>
      <c r="M344" s="384"/>
      <c r="N344" s="383"/>
      <c r="O344" s="383"/>
    </row>
    <row r="345" spans="1:15" s="385" customFormat="1" x14ac:dyDescent="0.2">
      <c r="A345" s="131" t="s">
        <v>1603</v>
      </c>
      <c r="B345" s="131" t="s">
        <v>1169</v>
      </c>
      <c r="C345" s="131" t="s">
        <v>1170</v>
      </c>
      <c r="D345" s="131" t="s">
        <v>802</v>
      </c>
      <c r="E345" s="131" t="s">
        <v>356</v>
      </c>
      <c r="F345" s="387">
        <v>44876</v>
      </c>
      <c r="G345" s="28"/>
      <c r="H345" s="381"/>
      <c r="I345" s="384"/>
      <c r="J345" s="384"/>
      <c r="K345" s="384"/>
      <c r="L345" s="384"/>
      <c r="M345" s="384"/>
      <c r="N345" s="383"/>
      <c r="O345" s="383"/>
    </row>
    <row r="346" spans="1:15" s="385" customFormat="1" x14ac:dyDescent="0.2">
      <c r="A346" s="131" t="s">
        <v>1604</v>
      </c>
      <c r="B346" s="131" t="s">
        <v>1171</v>
      </c>
      <c r="C346" s="131" t="s">
        <v>1172</v>
      </c>
      <c r="D346" s="131" t="s">
        <v>802</v>
      </c>
      <c r="E346" s="131" t="s">
        <v>358</v>
      </c>
      <c r="F346" s="380">
        <v>44876</v>
      </c>
      <c r="G346" s="28"/>
      <c r="H346" s="381"/>
      <c r="I346" s="384"/>
      <c r="J346" s="384"/>
      <c r="K346" s="384"/>
      <c r="L346" s="384"/>
      <c r="M346" s="384"/>
      <c r="N346" s="383"/>
      <c r="O346" s="383"/>
    </row>
    <row r="347" spans="1:15" s="385" customFormat="1" x14ac:dyDescent="0.2">
      <c r="A347" s="131" t="s">
        <v>1605</v>
      </c>
      <c r="B347" s="131" t="s">
        <v>1173</v>
      </c>
      <c r="C347" s="131" t="s">
        <v>1174</v>
      </c>
      <c r="D347" s="131" t="s">
        <v>802</v>
      </c>
      <c r="E347" s="131" t="s">
        <v>360</v>
      </c>
      <c r="F347" s="380">
        <v>44831</v>
      </c>
      <c r="G347" s="28"/>
      <c r="H347" s="381"/>
      <c r="I347" s="384"/>
      <c r="J347" s="384"/>
      <c r="K347" s="384"/>
      <c r="L347" s="384"/>
      <c r="M347" s="384"/>
      <c r="N347" s="383"/>
      <c r="O347" s="383"/>
    </row>
    <row r="348" spans="1:15" s="385" customFormat="1" x14ac:dyDescent="0.2">
      <c r="A348" s="131" t="s">
        <v>1606</v>
      </c>
      <c r="B348" s="131" t="s">
        <v>1175</v>
      </c>
      <c r="C348" s="131" t="s">
        <v>1176</v>
      </c>
      <c r="D348" s="131" t="s">
        <v>802</v>
      </c>
      <c r="E348" s="131" t="s">
        <v>364</v>
      </c>
      <c r="F348" s="380">
        <v>44896</v>
      </c>
      <c r="G348" s="28"/>
      <c r="H348" s="381"/>
      <c r="I348" s="384"/>
      <c r="J348" s="384"/>
      <c r="K348" s="384"/>
      <c r="L348" s="384"/>
      <c r="M348" s="384"/>
      <c r="N348" s="383"/>
      <c r="O348" s="383"/>
    </row>
    <row r="349" spans="1:15" s="385" customFormat="1" x14ac:dyDescent="0.2">
      <c r="A349" s="131" t="s">
        <v>1607</v>
      </c>
      <c r="B349" s="131" t="s">
        <v>1177</v>
      </c>
      <c r="C349" s="131" t="s">
        <v>1178</v>
      </c>
      <c r="D349" s="131" t="s">
        <v>802</v>
      </c>
      <c r="E349" s="131" t="s">
        <v>361</v>
      </c>
      <c r="F349" s="380">
        <v>45128</v>
      </c>
      <c r="G349" s="28"/>
      <c r="H349" s="381"/>
      <c r="I349" s="384"/>
      <c r="J349" s="384"/>
      <c r="K349" s="384"/>
      <c r="L349" s="384"/>
      <c r="M349" s="384"/>
      <c r="N349" s="383"/>
      <c r="O349" s="383"/>
    </row>
    <row r="350" spans="1:15" s="385" customFormat="1" x14ac:dyDescent="0.2">
      <c r="A350" s="131" t="s">
        <v>1608</v>
      </c>
      <c r="B350" s="131" t="s">
        <v>1300</v>
      </c>
      <c r="C350" s="131" t="s">
        <v>1301</v>
      </c>
      <c r="D350" s="131" t="s">
        <v>802</v>
      </c>
      <c r="E350" s="131" t="s">
        <v>364</v>
      </c>
      <c r="F350" s="380">
        <v>45219</v>
      </c>
      <c r="G350" s="28"/>
      <c r="H350" s="381"/>
      <c r="I350" s="384"/>
      <c r="J350" s="384"/>
      <c r="K350" s="384"/>
      <c r="L350" s="384"/>
      <c r="M350" s="384"/>
      <c r="N350" s="383"/>
      <c r="O350" s="383"/>
    </row>
    <row r="351" spans="1:15" s="385" customFormat="1" x14ac:dyDescent="0.2">
      <c r="A351" s="131" t="s">
        <v>1609</v>
      </c>
      <c r="B351" s="131" t="s">
        <v>1300</v>
      </c>
      <c r="C351" s="131" t="s">
        <v>1302</v>
      </c>
      <c r="D351" s="131" t="s">
        <v>802</v>
      </c>
      <c r="E351" s="131" t="s">
        <v>364</v>
      </c>
      <c r="F351" s="380">
        <v>45219</v>
      </c>
      <c r="G351" s="28"/>
      <c r="H351" s="381"/>
      <c r="I351" s="384"/>
      <c r="J351" s="384"/>
      <c r="K351" s="384"/>
      <c r="L351" s="384"/>
      <c r="M351" s="384"/>
      <c r="N351" s="383"/>
      <c r="O351" s="383"/>
    </row>
    <row r="352" spans="1:15" s="385" customFormat="1" x14ac:dyDescent="0.2">
      <c r="A352" s="131" t="s">
        <v>1610</v>
      </c>
      <c r="B352" s="131" t="s">
        <v>1303</v>
      </c>
      <c r="C352" s="131" t="s">
        <v>1304</v>
      </c>
      <c r="D352" s="131" t="s">
        <v>802</v>
      </c>
      <c r="E352" s="131" t="s">
        <v>369</v>
      </c>
      <c r="F352" s="380">
        <v>45188</v>
      </c>
      <c r="G352" s="28"/>
      <c r="H352" s="381"/>
      <c r="I352" s="384"/>
      <c r="J352" s="384"/>
      <c r="K352" s="384"/>
      <c r="L352" s="384"/>
      <c r="M352" s="384"/>
      <c r="N352" s="383"/>
      <c r="O352" s="383"/>
    </row>
    <row r="353" spans="1:15" s="385" customFormat="1" x14ac:dyDescent="0.2">
      <c r="A353" s="131" t="s">
        <v>1611</v>
      </c>
      <c r="B353" s="131" t="s">
        <v>1305</v>
      </c>
      <c r="C353" s="131" t="s">
        <v>1081</v>
      </c>
      <c r="D353" s="131" t="s">
        <v>802</v>
      </c>
      <c r="E353" s="131" t="s">
        <v>364</v>
      </c>
      <c r="F353" s="380">
        <v>45239</v>
      </c>
      <c r="G353" s="28"/>
      <c r="H353" s="381"/>
      <c r="I353" s="384"/>
      <c r="J353" s="384"/>
      <c r="K353" s="384"/>
      <c r="L353" s="384"/>
      <c r="M353" s="384"/>
      <c r="N353" s="383"/>
      <c r="O353" s="383"/>
    </row>
    <row r="354" spans="1:15" s="385" customFormat="1" x14ac:dyDescent="0.2">
      <c r="A354" s="131" t="s">
        <v>1612</v>
      </c>
      <c r="B354" s="131" t="s">
        <v>1306</v>
      </c>
      <c r="C354" s="131" t="s">
        <v>1307</v>
      </c>
      <c r="D354" s="131" t="s">
        <v>802</v>
      </c>
      <c r="E354" s="131" t="s">
        <v>368</v>
      </c>
      <c r="F354" s="380">
        <v>45177</v>
      </c>
      <c r="G354" s="28"/>
      <c r="H354" s="381"/>
      <c r="I354" s="384"/>
      <c r="J354" s="384"/>
      <c r="K354" s="384"/>
      <c r="L354" s="384"/>
      <c r="M354" s="384"/>
      <c r="N354" s="383"/>
      <c r="O354" s="383"/>
    </row>
    <row r="355" spans="1:15" s="385" customFormat="1" x14ac:dyDescent="0.2">
      <c r="A355" s="131" t="s">
        <v>1613</v>
      </c>
      <c r="B355" s="131" t="s">
        <v>1308</v>
      </c>
      <c r="C355" s="131" t="s">
        <v>1309</v>
      </c>
      <c r="D355" s="131" t="s">
        <v>802</v>
      </c>
      <c r="E355" s="121" t="s">
        <v>368</v>
      </c>
      <c r="F355" s="380">
        <v>45259</v>
      </c>
      <c r="G355" s="28"/>
      <c r="H355" s="381"/>
      <c r="I355" s="384"/>
      <c r="J355" s="384"/>
      <c r="K355" s="384"/>
      <c r="L355" s="384"/>
      <c r="M355" s="384"/>
      <c r="N355" s="383"/>
      <c r="O355" s="383"/>
    </row>
    <row r="356" spans="1:15" s="385" customFormat="1" x14ac:dyDescent="0.2">
      <c r="A356" s="131" t="s">
        <v>1614</v>
      </c>
      <c r="B356" s="131" t="s">
        <v>1310</v>
      </c>
      <c r="C356" s="131" t="s">
        <v>1311</v>
      </c>
      <c r="D356" s="131" t="s">
        <v>154</v>
      </c>
      <c r="E356" s="131" t="s">
        <v>154</v>
      </c>
      <c r="F356" s="442">
        <v>45258</v>
      </c>
      <c r="G356" s="28"/>
      <c r="H356" s="381"/>
      <c r="I356" s="384"/>
      <c r="J356" s="384"/>
      <c r="K356" s="384"/>
      <c r="L356" s="384"/>
      <c r="M356" s="384"/>
      <c r="N356" s="383"/>
      <c r="O356" s="383"/>
    </row>
    <row r="357" spans="1:15" s="385" customFormat="1" x14ac:dyDescent="0.2">
      <c r="A357" s="131" t="s">
        <v>1615</v>
      </c>
      <c r="B357" s="131" t="s">
        <v>1312</v>
      </c>
      <c r="C357" s="131" t="s">
        <v>1313</v>
      </c>
      <c r="D357" s="131" t="s">
        <v>370</v>
      </c>
      <c r="E357" s="131" t="s">
        <v>370</v>
      </c>
      <c r="F357" s="442">
        <v>45254</v>
      </c>
      <c r="G357" s="28"/>
      <c r="H357" s="381"/>
      <c r="I357" s="384"/>
      <c r="J357" s="384"/>
      <c r="K357" s="384"/>
      <c r="L357" s="384"/>
      <c r="M357" s="384"/>
      <c r="N357" s="383"/>
      <c r="O357" s="383"/>
    </row>
    <row r="358" spans="1:15" s="385" customFormat="1" x14ac:dyDescent="0.2">
      <c r="A358" s="131" t="s">
        <v>1616</v>
      </c>
      <c r="B358" s="131" t="s">
        <v>1314</v>
      </c>
      <c r="C358" s="131" t="s">
        <v>1315</v>
      </c>
      <c r="D358" s="131" t="s">
        <v>802</v>
      </c>
      <c r="E358" s="131" t="s">
        <v>356</v>
      </c>
      <c r="F358" s="380">
        <v>45471</v>
      </c>
      <c r="G358" s="28"/>
      <c r="H358" s="381"/>
      <c r="I358" s="384"/>
      <c r="J358" s="384"/>
      <c r="K358" s="384"/>
      <c r="L358" s="384"/>
      <c r="M358" s="384"/>
      <c r="N358" s="383"/>
      <c r="O358" s="383"/>
    </row>
    <row r="359" spans="1:15" s="385" customFormat="1" x14ac:dyDescent="0.2">
      <c r="A359" s="131" t="s">
        <v>1617</v>
      </c>
      <c r="B359" s="131" t="s">
        <v>1316</v>
      </c>
      <c r="C359" s="131" t="s">
        <v>1317</v>
      </c>
      <c r="D359" s="131" t="s">
        <v>802</v>
      </c>
      <c r="E359" s="131" t="s">
        <v>367</v>
      </c>
      <c r="F359" s="380">
        <v>45399</v>
      </c>
      <c r="G359" s="28"/>
      <c r="H359" s="381"/>
      <c r="I359" s="384"/>
      <c r="J359" s="384"/>
      <c r="K359" s="384"/>
      <c r="L359" s="384"/>
      <c r="M359" s="384"/>
      <c r="N359" s="383"/>
      <c r="O359" s="383"/>
    </row>
    <row r="360" spans="1:15" s="385" customFormat="1" x14ac:dyDescent="0.2">
      <c r="A360" s="131" t="s">
        <v>1618</v>
      </c>
      <c r="B360" s="131" t="s">
        <v>1318</v>
      </c>
      <c r="C360" s="131" t="s">
        <v>1182</v>
      </c>
      <c r="D360" s="131" t="s">
        <v>802</v>
      </c>
      <c r="E360" s="131" t="s">
        <v>364</v>
      </c>
      <c r="F360" s="380">
        <v>45406</v>
      </c>
      <c r="G360" s="28"/>
      <c r="H360" s="381"/>
      <c r="I360" s="384"/>
      <c r="J360" s="384"/>
      <c r="K360" s="384"/>
      <c r="L360" s="384"/>
      <c r="M360" s="384"/>
      <c r="N360" s="383"/>
      <c r="O360" s="383"/>
    </row>
    <row r="361" spans="1:15" s="385" customFormat="1" x14ac:dyDescent="0.2">
      <c r="A361" s="131" t="s">
        <v>1619</v>
      </c>
      <c r="B361" s="131" t="s">
        <v>1319</v>
      </c>
      <c r="C361" s="131" t="s">
        <v>896</v>
      </c>
      <c r="D361" s="131" t="s">
        <v>802</v>
      </c>
      <c r="E361" s="131" t="s">
        <v>306</v>
      </c>
      <c r="F361" s="442">
        <v>38373</v>
      </c>
      <c r="G361" s="28"/>
      <c r="H361" s="381"/>
      <c r="I361" s="384"/>
      <c r="J361" s="384"/>
      <c r="K361" s="384"/>
      <c r="L361" s="384"/>
      <c r="M361" s="384"/>
      <c r="N361" s="383"/>
      <c r="O361" s="383"/>
    </row>
    <row r="362" spans="1:15" s="385" customFormat="1" x14ac:dyDescent="0.2">
      <c r="A362" s="131" t="s">
        <v>1620</v>
      </c>
      <c r="B362" s="131" t="s">
        <v>1320</v>
      </c>
      <c r="C362" s="131" t="s">
        <v>811</v>
      </c>
      <c r="D362" s="131" t="s">
        <v>802</v>
      </c>
      <c r="E362" s="131" t="s">
        <v>355</v>
      </c>
      <c r="F362" s="442">
        <v>39945</v>
      </c>
      <c r="G362" s="28"/>
      <c r="H362" s="381"/>
      <c r="I362" s="384"/>
      <c r="J362" s="384"/>
      <c r="K362" s="384"/>
      <c r="L362" s="384"/>
      <c r="M362" s="384"/>
      <c r="N362" s="383"/>
      <c r="O362" s="383"/>
    </row>
    <row r="363" spans="1:15" s="385" customFormat="1" x14ac:dyDescent="0.2">
      <c r="A363" s="131" t="s">
        <v>1621</v>
      </c>
      <c r="B363" s="131" t="s">
        <v>1023</v>
      </c>
      <c r="C363" s="131" t="s">
        <v>974</v>
      </c>
      <c r="D363" s="131" t="s">
        <v>802</v>
      </c>
      <c r="E363" s="131" t="s">
        <v>364</v>
      </c>
      <c r="F363" s="442">
        <v>44032</v>
      </c>
      <c r="G363" s="28"/>
      <c r="H363" s="381"/>
      <c r="I363" s="384"/>
      <c r="J363" s="384"/>
      <c r="K363" s="384"/>
      <c r="L363" s="384"/>
      <c r="M363" s="384"/>
      <c r="N363" s="383"/>
      <c r="O363" s="383"/>
    </row>
    <row r="364" spans="1:15" s="385" customFormat="1" x14ac:dyDescent="0.2">
      <c r="A364" s="131" t="s">
        <v>1622</v>
      </c>
      <c r="B364" s="131" t="s">
        <v>975</v>
      </c>
      <c r="C364" s="131" t="s">
        <v>1179</v>
      </c>
      <c r="D364" s="131" t="s">
        <v>802</v>
      </c>
      <c r="E364" s="131" t="s">
        <v>364</v>
      </c>
      <c r="F364" s="442">
        <v>44155</v>
      </c>
      <c r="G364" s="28"/>
      <c r="H364" s="381"/>
      <c r="I364" s="384"/>
      <c r="J364" s="384"/>
      <c r="K364" s="384"/>
      <c r="L364" s="384"/>
      <c r="M364" s="384"/>
      <c r="N364" s="383"/>
      <c r="O364" s="383"/>
    </row>
    <row r="365" spans="1:15" s="385" customFormat="1" x14ac:dyDescent="0.2">
      <c r="A365" s="131" t="s">
        <v>1623</v>
      </c>
      <c r="B365" s="131" t="s">
        <v>976</v>
      </c>
      <c r="C365" s="131" t="s">
        <v>977</v>
      </c>
      <c r="D365" s="131" t="s">
        <v>802</v>
      </c>
      <c r="E365" s="131" t="s">
        <v>364</v>
      </c>
      <c r="F365" s="442">
        <v>44221</v>
      </c>
      <c r="G365" s="28"/>
      <c r="H365" s="381"/>
      <c r="I365" s="384"/>
      <c r="J365" s="384"/>
      <c r="K365" s="384"/>
      <c r="L365" s="384"/>
      <c r="M365" s="384"/>
      <c r="N365" s="383"/>
      <c r="O365" s="383"/>
    </row>
    <row r="366" spans="1:15" s="385" customFormat="1" x14ac:dyDescent="0.2">
      <c r="A366" s="131" t="s">
        <v>1624</v>
      </c>
      <c r="B366" s="131" t="s">
        <v>1321</v>
      </c>
      <c r="C366" s="131" t="s">
        <v>1322</v>
      </c>
      <c r="D366" s="131" t="s">
        <v>802</v>
      </c>
      <c r="E366" s="131" t="s">
        <v>364</v>
      </c>
      <c r="F366" s="380">
        <v>44032</v>
      </c>
      <c r="G366" s="28"/>
      <c r="H366" s="381"/>
      <c r="I366" s="384"/>
      <c r="J366" s="384"/>
      <c r="K366" s="384"/>
      <c r="L366" s="384"/>
      <c r="M366" s="384"/>
      <c r="N366" s="383"/>
      <c r="O366" s="383"/>
    </row>
    <row r="367" spans="1:15" s="385" customFormat="1" x14ac:dyDescent="0.2">
      <c r="A367" s="131" t="s">
        <v>1625</v>
      </c>
      <c r="B367" s="131" t="s">
        <v>1024</v>
      </c>
      <c r="C367" s="131" t="s">
        <v>978</v>
      </c>
      <c r="D367" s="131" t="s">
        <v>802</v>
      </c>
      <c r="E367" s="131" t="s">
        <v>364</v>
      </c>
      <c r="F367" s="380">
        <v>44015</v>
      </c>
      <c r="G367" s="28"/>
      <c r="H367" s="381"/>
      <c r="I367" s="384"/>
      <c r="J367" s="384"/>
      <c r="K367" s="384"/>
      <c r="L367" s="384"/>
      <c r="M367" s="384"/>
      <c r="N367" s="383"/>
      <c r="O367" s="383"/>
    </row>
    <row r="368" spans="1:15" s="385" customFormat="1" x14ac:dyDescent="0.2">
      <c r="A368" s="131" t="s">
        <v>1626</v>
      </c>
      <c r="B368" s="131" t="s">
        <v>979</v>
      </c>
      <c r="C368" s="131" t="s">
        <v>1180</v>
      </c>
      <c r="D368" s="131" t="s">
        <v>802</v>
      </c>
      <c r="E368" s="131" t="s">
        <v>364</v>
      </c>
      <c r="F368" s="442">
        <v>43894</v>
      </c>
      <c r="G368" s="28"/>
      <c r="H368" s="381"/>
      <c r="I368" s="384"/>
      <c r="J368" s="384"/>
      <c r="K368" s="384"/>
      <c r="L368" s="384"/>
      <c r="M368" s="384"/>
      <c r="N368" s="383"/>
      <c r="O368" s="383"/>
    </row>
    <row r="369" spans="1:15" s="385" customFormat="1" x14ac:dyDescent="0.2">
      <c r="A369" s="131" t="s">
        <v>1627</v>
      </c>
      <c r="B369" s="131" t="s">
        <v>980</v>
      </c>
      <c r="C369" s="131" t="s">
        <v>981</v>
      </c>
      <c r="D369" s="131" t="s">
        <v>802</v>
      </c>
      <c r="E369" s="131" t="s">
        <v>364</v>
      </c>
      <c r="F369" s="442">
        <v>44155</v>
      </c>
      <c r="G369" s="28"/>
      <c r="H369" s="381"/>
      <c r="I369" s="384"/>
      <c r="J369" s="384"/>
      <c r="K369" s="384"/>
      <c r="L369" s="384"/>
      <c r="M369" s="384"/>
      <c r="N369" s="383"/>
      <c r="O369" s="383"/>
    </row>
    <row r="370" spans="1:15" s="385" customFormat="1" x14ac:dyDescent="0.2">
      <c r="A370" s="131" t="s">
        <v>1628</v>
      </c>
      <c r="B370" s="131" t="s">
        <v>1181</v>
      </c>
      <c r="C370" s="131" t="s">
        <v>1182</v>
      </c>
      <c r="D370" s="131" t="s">
        <v>802</v>
      </c>
      <c r="E370" s="131" t="s">
        <v>364</v>
      </c>
      <c r="F370" s="442">
        <v>44579</v>
      </c>
      <c r="G370" s="28"/>
      <c r="H370" s="381"/>
      <c r="I370" s="384"/>
      <c r="J370" s="384"/>
      <c r="K370" s="384"/>
      <c r="L370" s="384"/>
      <c r="M370" s="384"/>
      <c r="N370" s="383"/>
      <c r="O370" s="383"/>
    </row>
    <row r="371" spans="1:15" s="385" customFormat="1" x14ac:dyDescent="0.2">
      <c r="A371" s="131" t="s">
        <v>1629</v>
      </c>
      <c r="B371" s="131" t="s">
        <v>982</v>
      </c>
      <c r="C371" s="131" t="s">
        <v>1025</v>
      </c>
      <c r="D371" s="131" t="s">
        <v>802</v>
      </c>
      <c r="E371" s="131" t="s">
        <v>364</v>
      </c>
      <c r="F371" s="380">
        <v>44155</v>
      </c>
      <c r="G371" s="28"/>
      <c r="H371" s="381"/>
      <c r="I371" s="384"/>
      <c r="J371" s="384"/>
      <c r="K371" s="384"/>
      <c r="L371" s="384"/>
      <c r="M371" s="384"/>
      <c r="N371" s="383"/>
      <c r="O371" s="383"/>
    </row>
    <row r="372" spans="1:15" s="385" customFormat="1" x14ac:dyDescent="0.2">
      <c r="A372" s="131" t="s">
        <v>1630</v>
      </c>
      <c r="B372" s="131" t="s">
        <v>982</v>
      </c>
      <c r="C372" s="131" t="s">
        <v>983</v>
      </c>
      <c r="D372" s="131" t="s">
        <v>802</v>
      </c>
      <c r="E372" s="131" t="s">
        <v>364</v>
      </c>
      <c r="F372" s="380">
        <v>44155</v>
      </c>
      <c r="G372" s="28"/>
      <c r="H372" s="381"/>
      <c r="I372" s="384"/>
      <c r="J372" s="384"/>
      <c r="K372" s="384"/>
      <c r="L372" s="384"/>
      <c r="M372" s="384"/>
      <c r="N372" s="383"/>
      <c r="O372" s="383"/>
    </row>
    <row r="373" spans="1:15" s="385" customFormat="1" x14ac:dyDescent="0.2">
      <c r="A373" s="131" t="s">
        <v>1642</v>
      </c>
      <c r="B373" s="131" t="s">
        <v>1080</v>
      </c>
      <c r="C373" s="131" t="s">
        <v>1081</v>
      </c>
      <c r="D373" s="131" t="s">
        <v>802</v>
      </c>
      <c r="E373" s="131" t="s">
        <v>364</v>
      </c>
      <c r="F373" s="442">
        <v>44250</v>
      </c>
      <c r="G373" s="28"/>
      <c r="H373" s="381"/>
      <c r="I373" s="384"/>
      <c r="J373" s="384"/>
      <c r="K373" s="384"/>
      <c r="L373" s="384"/>
      <c r="M373" s="384"/>
      <c r="N373" s="383"/>
      <c r="O373" s="383"/>
    </row>
    <row r="374" spans="1:15" s="385" customFormat="1" x14ac:dyDescent="0.2">
      <c r="A374" s="131" t="s">
        <v>1631</v>
      </c>
      <c r="B374" s="131" t="s">
        <v>1183</v>
      </c>
      <c r="C374" s="131" t="s">
        <v>1184</v>
      </c>
      <c r="D374" s="131" t="s">
        <v>802</v>
      </c>
      <c r="E374" s="131" t="s">
        <v>364</v>
      </c>
      <c r="F374" s="380">
        <v>44155</v>
      </c>
      <c r="G374" s="28"/>
      <c r="H374" s="381"/>
      <c r="I374" s="384"/>
      <c r="J374" s="384"/>
      <c r="K374" s="384"/>
      <c r="L374" s="384"/>
      <c r="M374" s="384"/>
      <c r="N374" s="383"/>
      <c r="O374" s="383"/>
    </row>
    <row r="375" spans="1:15" s="385" customFormat="1" x14ac:dyDescent="0.2">
      <c r="A375" s="131" t="s">
        <v>1632</v>
      </c>
      <c r="B375" s="131" t="s">
        <v>984</v>
      </c>
      <c r="C375" s="131" t="s">
        <v>985</v>
      </c>
      <c r="D375" s="131" t="s">
        <v>802</v>
      </c>
      <c r="E375" s="131" t="s">
        <v>364</v>
      </c>
      <c r="F375" s="380">
        <v>44032</v>
      </c>
      <c r="G375" s="28"/>
      <c r="H375" s="381"/>
      <c r="I375" s="384"/>
      <c r="J375" s="384"/>
      <c r="K375" s="384"/>
      <c r="L375" s="384"/>
      <c r="M375" s="384"/>
      <c r="N375" s="383"/>
      <c r="O375" s="383"/>
    </row>
    <row r="376" spans="1:15" s="385" customFormat="1" x14ac:dyDescent="0.2">
      <c r="A376" s="131" t="s">
        <v>1633</v>
      </c>
      <c r="B376" s="131" t="s">
        <v>1026</v>
      </c>
      <c r="C376" s="131" t="s">
        <v>986</v>
      </c>
      <c r="D376" s="131" t="s">
        <v>802</v>
      </c>
      <c r="E376" s="131" t="s">
        <v>364</v>
      </c>
      <c r="F376" s="380">
        <v>44000</v>
      </c>
      <c r="G376" s="28"/>
      <c r="H376" s="381"/>
      <c r="I376" s="384"/>
      <c r="J376" s="384"/>
      <c r="K376" s="384"/>
      <c r="L376" s="384"/>
      <c r="M376" s="384"/>
      <c r="N376" s="383"/>
      <c r="O376" s="383"/>
    </row>
    <row r="377" spans="1:15" s="385" customFormat="1" x14ac:dyDescent="0.2">
      <c r="A377" s="131" t="s">
        <v>1634</v>
      </c>
      <c r="B377" s="131" t="s">
        <v>987</v>
      </c>
      <c r="C377" s="131" t="s">
        <v>988</v>
      </c>
      <c r="D377" s="131" t="s">
        <v>802</v>
      </c>
      <c r="E377" s="131" t="s">
        <v>364</v>
      </c>
      <c r="F377" s="380">
        <v>44120</v>
      </c>
      <c r="G377" s="28"/>
      <c r="H377" s="381"/>
      <c r="I377" s="384"/>
      <c r="J377" s="384"/>
      <c r="K377" s="384"/>
      <c r="L377" s="384"/>
      <c r="M377" s="384"/>
      <c r="N377" s="383"/>
      <c r="O377" s="383"/>
    </row>
    <row r="378" spans="1:15" s="385" customFormat="1" x14ac:dyDescent="0.2">
      <c r="A378" s="131" t="s">
        <v>1635</v>
      </c>
      <c r="B378" s="131" t="s">
        <v>987</v>
      </c>
      <c r="C378" s="131" t="s">
        <v>989</v>
      </c>
      <c r="D378" s="131" t="s">
        <v>802</v>
      </c>
      <c r="E378" s="131" t="s">
        <v>364</v>
      </c>
      <c r="F378" s="380">
        <v>44162</v>
      </c>
      <c r="G378" s="28"/>
      <c r="H378" s="381"/>
      <c r="I378" s="384"/>
      <c r="J378" s="384"/>
      <c r="K378" s="384"/>
      <c r="L378" s="384"/>
      <c r="M378" s="384"/>
      <c r="N378" s="383"/>
      <c r="O378" s="383"/>
    </row>
    <row r="379" spans="1:15" s="385" customFormat="1" x14ac:dyDescent="0.2">
      <c r="A379" s="131" t="s">
        <v>1636</v>
      </c>
      <c r="B379" s="131" t="s">
        <v>990</v>
      </c>
      <c r="C379" s="131" t="s">
        <v>991</v>
      </c>
      <c r="D379" s="131" t="s">
        <v>802</v>
      </c>
      <c r="E379" s="131" t="s">
        <v>364</v>
      </c>
      <c r="F379" s="380">
        <v>43962</v>
      </c>
      <c r="G379" s="28"/>
      <c r="H379" s="381"/>
      <c r="I379" s="384"/>
      <c r="J379" s="384"/>
      <c r="K379" s="384"/>
      <c r="L379" s="384"/>
      <c r="M379" s="384"/>
      <c r="N379" s="383"/>
      <c r="O379" s="383"/>
    </row>
    <row r="380" spans="1:15" s="385" customFormat="1" x14ac:dyDescent="0.2">
      <c r="A380" s="131" t="s">
        <v>1637</v>
      </c>
      <c r="B380" s="131" t="s">
        <v>992</v>
      </c>
      <c r="C380" s="131" t="s">
        <v>1027</v>
      </c>
      <c r="D380" s="131" t="s">
        <v>802</v>
      </c>
      <c r="E380" s="131" t="s">
        <v>364</v>
      </c>
      <c r="F380" s="380">
        <v>43895</v>
      </c>
      <c r="G380" s="28"/>
      <c r="H380" s="381"/>
      <c r="I380" s="384"/>
      <c r="J380" s="384"/>
      <c r="K380" s="384"/>
      <c r="L380" s="384"/>
      <c r="M380" s="384"/>
      <c r="N380" s="383"/>
      <c r="O380" s="383"/>
    </row>
    <row r="381" spans="1:15" s="385" customFormat="1" x14ac:dyDescent="0.2">
      <c r="A381" s="131" t="s">
        <v>1638</v>
      </c>
      <c r="B381" s="131" t="s">
        <v>1323</v>
      </c>
      <c r="C381" s="131" t="s">
        <v>1028</v>
      </c>
      <c r="D381" s="131" t="s">
        <v>802</v>
      </c>
      <c r="E381" s="131" t="s">
        <v>364</v>
      </c>
      <c r="F381" s="380">
        <v>44020</v>
      </c>
      <c r="G381" s="28"/>
      <c r="H381" s="381"/>
      <c r="I381" s="384"/>
      <c r="J381" s="384"/>
      <c r="K381" s="384"/>
      <c r="L381" s="384"/>
      <c r="M381" s="384"/>
      <c r="N381" s="383"/>
      <c r="O381" s="383"/>
    </row>
    <row r="382" spans="1:15" s="385" customFormat="1" x14ac:dyDescent="0.2">
      <c r="A382" s="131" t="s">
        <v>1639</v>
      </c>
      <c r="B382" s="131" t="s">
        <v>1118</v>
      </c>
      <c r="C382" s="131" t="s">
        <v>1119</v>
      </c>
      <c r="D382" s="131" t="s">
        <v>802</v>
      </c>
      <c r="E382" s="131" t="s">
        <v>364</v>
      </c>
      <c r="F382" s="380">
        <v>44579</v>
      </c>
      <c r="G382" s="28"/>
      <c r="H382" s="381"/>
      <c r="I382" s="384"/>
      <c r="J382" s="384"/>
      <c r="K382" s="384"/>
      <c r="L382" s="384"/>
      <c r="M382" s="384"/>
      <c r="N382" s="383"/>
      <c r="O382" s="383"/>
    </row>
    <row r="383" spans="1:15" s="385" customFormat="1" x14ac:dyDescent="0.2">
      <c r="A383" s="131" t="s">
        <v>1640</v>
      </c>
      <c r="B383" s="131" t="s">
        <v>1029</v>
      </c>
      <c r="C383" s="131" t="s">
        <v>993</v>
      </c>
      <c r="D383" s="131" t="s">
        <v>802</v>
      </c>
      <c r="E383" s="131" t="s">
        <v>364</v>
      </c>
      <c r="F383" s="380">
        <v>44208</v>
      </c>
      <c r="G383" s="28"/>
      <c r="H383" s="381"/>
      <c r="I383" s="384"/>
      <c r="J383" s="384"/>
      <c r="K383" s="384"/>
      <c r="L383" s="384"/>
      <c r="M383" s="384"/>
      <c r="N383" s="383"/>
      <c r="O383" s="383"/>
    </row>
    <row r="384" spans="1:15" s="385" customFormat="1" x14ac:dyDescent="0.2">
      <c r="A384" s="131" t="s">
        <v>1641</v>
      </c>
      <c r="B384" s="131" t="s">
        <v>1030</v>
      </c>
      <c r="C384" s="131" t="s">
        <v>1082</v>
      </c>
      <c r="D384" s="131" t="s">
        <v>802</v>
      </c>
      <c r="E384" s="131" t="s">
        <v>364</v>
      </c>
      <c r="F384" s="380">
        <v>44207</v>
      </c>
      <c r="G384" s="28"/>
      <c r="H384" s="381"/>
      <c r="I384" s="384"/>
      <c r="J384" s="384"/>
      <c r="K384" s="384"/>
      <c r="L384" s="384"/>
      <c r="M384" s="384"/>
      <c r="N384" s="383"/>
      <c r="O384" s="383"/>
    </row>
    <row r="385" spans="1:15" s="385" customFormat="1" x14ac:dyDescent="0.2">
      <c r="A385" s="131" t="s">
        <v>1643</v>
      </c>
      <c r="B385" s="131" t="s">
        <v>1120</v>
      </c>
      <c r="C385" s="131" t="s">
        <v>1121</v>
      </c>
      <c r="D385" s="131" t="s">
        <v>802</v>
      </c>
      <c r="E385" s="131" t="s">
        <v>364</v>
      </c>
      <c r="F385" s="380">
        <v>44573</v>
      </c>
      <c r="G385" s="28"/>
      <c r="H385" s="381"/>
      <c r="I385" s="384"/>
      <c r="J385" s="384"/>
      <c r="K385" s="384"/>
      <c r="L385" s="384"/>
      <c r="M385" s="384"/>
      <c r="N385" s="383"/>
      <c r="O385" s="383"/>
    </row>
    <row r="386" spans="1:15" s="385" customFormat="1" x14ac:dyDescent="0.2">
      <c r="A386" s="131" t="s">
        <v>1644</v>
      </c>
      <c r="B386" s="131" t="s">
        <v>1122</v>
      </c>
      <c r="C386" s="131" t="s">
        <v>1123</v>
      </c>
      <c r="D386" s="131" t="s">
        <v>802</v>
      </c>
      <c r="E386" s="131" t="s">
        <v>364</v>
      </c>
      <c r="F386" s="380">
        <v>44684</v>
      </c>
      <c r="G386" s="28"/>
      <c r="H386" s="381"/>
      <c r="I386" s="384"/>
      <c r="J386" s="384"/>
      <c r="K386" s="384"/>
      <c r="L386" s="384"/>
      <c r="M386" s="384"/>
      <c r="N386" s="383"/>
      <c r="O386" s="383"/>
    </row>
    <row r="387" spans="1:15" s="385" customFormat="1" x14ac:dyDescent="0.2">
      <c r="A387" s="131" t="s">
        <v>1645</v>
      </c>
      <c r="B387" s="131" t="s">
        <v>1124</v>
      </c>
      <c r="C387" s="131" t="s">
        <v>1125</v>
      </c>
      <c r="D387" s="131" t="s">
        <v>802</v>
      </c>
      <c r="E387" s="131" t="s">
        <v>364</v>
      </c>
      <c r="F387" s="380">
        <v>44691</v>
      </c>
      <c r="G387" s="28"/>
      <c r="H387" s="381"/>
      <c r="I387" s="384"/>
      <c r="J387" s="384"/>
      <c r="K387" s="384"/>
      <c r="L387" s="384"/>
      <c r="M387" s="384"/>
      <c r="N387" s="383"/>
      <c r="O387" s="383"/>
    </row>
    <row r="388" spans="1:15" x14ac:dyDescent="0.2">
      <c r="A388" s="121" t="s">
        <v>615</v>
      </c>
      <c r="B388" s="388" t="s">
        <v>616</v>
      </c>
      <c r="C388" s="388" t="s">
        <v>616</v>
      </c>
      <c r="D388" s="388" t="s">
        <v>616</v>
      </c>
      <c r="E388" s="388" t="s">
        <v>616</v>
      </c>
      <c r="F388" s="380" t="s">
        <v>616</v>
      </c>
      <c r="H388" s="350"/>
    </row>
  </sheetData>
  <autoFilter ref="A68:F388"/>
  <phoneticPr fontId="34" type="noConversion"/>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O101"/>
  <sheetViews>
    <sheetView showGridLines="0" tabSelected="1" showRuler="0" zoomScaleNormal="100" zoomScaleSheetLayoutView="91" workbookViewId="0">
      <selection activeCell="C6" sqref="C6:E6"/>
    </sheetView>
  </sheetViews>
  <sheetFormatPr baseColWidth="10" defaultColWidth="11.42578125" defaultRowHeight="14.25" x14ac:dyDescent="0.2"/>
  <cols>
    <col min="1" max="1" width="15.7109375" style="1" customWidth="1"/>
    <col min="2" max="2" width="1.42578125" style="1" customWidth="1"/>
    <col min="3" max="3" width="17" style="1" customWidth="1"/>
    <col min="4" max="4" width="8.85546875" style="1" customWidth="1"/>
    <col min="5" max="7" width="7.28515625" style="1" customWidth="1"/>
    <col min="8" max="8" width="6.7109375" style="1" customWidth="1"/>
    <col min="9" max="9" width="9.42578125" style="1" customWidth="1"/>
    <col min="10" max="10" width="10" style="1" customWidth="1"/>
    <col min="11" max="11" width="6.42578125" style="1" customWidth="1"/>
    <col min="12" max="12" width="10.85546875" style="1" customWidth="1"/>
    <col min="13" max="13" width="12.42578125" style="1" customWidth="1"/>
    <col min="14" max="14" width="11.28515625" style="1" customWidth="1"/>
    <col min="15" max="256" width="9.140625" style="1" customWidth="1"/>
    <col min="257" max="16384" width="11.42578125" style="1"/>
  </cols>
  <sheetData>
    <row r="1" spans="1:12" ht="9.9499999999999993" customHeight="1" x14ac:dyDescent="0.2"/>
    <row r="2" spans="1:12" ht="12.95" customHeight="1" x14ac:dyDescent="0.2">
      <c r="A2" s="19" t="s">
        <v>1195</v>
      </c>
      <c r="B2" s="9"/>
    </row>
    <row r="3" spans="1:12" ht="15.75" x14ac:dyDescent="0.2">
      <c r="A3" s="303" t="s">
        <v>595</v>
      </c>
      <c r="B3" s="303"/>
    </row>
    <row r="4" spans="1:12" ht="9.75" customHeight="1" x14ac:dyDescent="0.2"/>
    <row r="5" spans="1:12" ht="30.75" customHeight="1" x14ac:dyDescent="0.2">
      <c r="D5" s="7"/>
      <c r="E5" s="7"/>
      <c r="F5" s="7"/>
      <c r="G5" s="7"/>
      <c r="H5" s="7"/>
      <c r="I5" s="7"/>
      <c r="J5" s="7"/>
      <c r="K5" s="7"/>
      <c r="L5" s="7"/>
    </row>
    <row r="6" spans="1:12" ht="14.1" customHeight="1" x14ac:dyDescent="0.2">
      <c r="A6" s="306" t="s">
        <v>304</v>
      </c>
      <c r="B6" s="306"/>
      <c r="C6" s="595"/>
      <c r="D6" s="596"/>
      <c r="E6" s="597"/>
      <c r="F6" s="19"/>
      <c r="G6" s="19"/>
      <c r="H6" s="19"/>
      <c r="I6" s="19"/>
      <c r="J6" s="590"/>
      <c r="K6" s="590"/>
      <c r="L6" s="591"/>
    </row>
    <row r="7" spans="1:12" ht="4.5" customHeight="1" x14ac:dyDescent="0.2">
      <c r="A7" s="19"/>
      <c r="B7" s="19"/>
      <c r="C7" s="19"/>
      <c r="D7" s="14"/>
      <c r="E7" s="14"/>
      <c r="F7" s="14"/>
      <c r="G7" s="14"/>
      <c r="H7" s="14"/>
      <c r="I7" s="14"/>
      <c r="J7" s="14"/>
      <c r="K7" s="14"/>
      <c r="L7" s="4"/>
    </row>
    <row r="8" spans="1:12" s="2" customFormat="1" ht="14.1" customHeight="1" x14ac:dyDescent="0.2">
      <c r="A8" s="306" t="s">
        <v>504</v>
      </c>
      <c r="B8" s="306"/>
      <c r="C8" s="592" t="str">
        <f>IF($C$6="","",Datenquelle!B66)</f>
        <v/>
      </c>
      <c r="D8" s="593"/>
      <c r="E8" s="593"/>
      <c r="F8" s="593"/>
      <c r="G8" s="593"/>
      <c r="H8" s="593"/>
      <c r="I8" s="593"/>
      <c r="J8" s="593"/>
      <c r="K8" s="593"/>
      <c r="L8" s="594"/>
    </row>
    <row r="9" spans="1:12" s="2" customFormat="1" ht="4.5" customHeight="1" x14ac:dyDescent="0.2">
      <c r="A9" s="14"/>
      <c r="B9" s="14"/>
      <c r="C9" s="14"/>
      <c r="D9" s="14"/>
      <c r="E9" s="14"/>
      <c r="F9" s="14"/>
      <c r="G9" s="14"/>
      <c r="H9" s="14"/>
      <c r="I9" s="19"/>
      <c r="J9" s="19"/>
      <c r="K9" s="19"/>
      <c r="L9" s="19"/>
    </row>
    <row r="10" spans="1:12" s="2" customFormat="1" ht="14.1" customHeight="1" x14ac:dyDescent="0.2">
      <c r="A10" s="306" t="s">
        <v>505</v>
      </c>
      <c r="B10" s="306"/>
      <c r="C10" s="592" t="str">
        <f>IF($C$6="","",Datenquelle!C66)</f>
        <v/>
      </c>
      <c r="D10" s="593"/>
      <c r="E10" s="593"/>
      <c r="F10" s="593"/>
      <c r="G10" s="593"/>
      <c r="H10" s="593"/>
      <c r="I10" s="593"/>
      <c r="J10" s="593"/>
      <c r="K10" s="593"/>
      <c r="L10" s="594"/>
    </row>
    <row r="11" spans="1:12" s="2" customFormat="1" ht="4.5" customHeight="1" x14ac:dyDescent="0.2">
      <c r="B11" s="14"/>
      <c r="C11" s="14"/>
      <c r="D11" s="14"/>
      <c r="E11" s="14"/>
      <c r="F11" s="14"/>
      <c r="G11" s="14"/>
      <c r="H11" s="14"/>
      <c r="I11" s="19"/>
      <c r="J11" s="19"/>
      <c r="K11" s="19"/>
      <c r="L11" s="19"/>
    </row>
    <row r="12" spans="1:12" s="2" customFormat="1" ht="14.1" customHeight="1" x14ac:dyDescent="0.2">
      <c r="A12" s="457" t="s">
        <v>1198</v>
      </c>
      <c r="B12" s="232"/>
      <c r="C12" s="587"/>
      <c r="D12" s="588"/>
      <c r="E12" s="589"/>
      <c r="F12" s="516"/>
      <c r="G12" s="19"/>
      <c r="H12" s="306" t="s">
        <v>439</v>
      </c>
      <c r="I12" s="19"/>
      <c r="K12" s="600"/>
      <c r="L12" s="601"/>
    </row>
    <row r="13" spans="1:12" ht="4.5" customHeight="1" x14ac:dyDescent="0.2">
      <c r="A13" s="457"/>
      <c r="B13" s="19"/>
      <c r="C13" s="19"/>
      <c r="D13" s="14"/>
      <c r="E13" s="14"/>
      <c r="F13" s="14"/>
      <c r="G13" s="14"/>
      <c r="H13" s="14"/>
      <c r="I13" s="19"/>
      <c r="K13" s="19"/>
      <c r="L13" s="19"/>
    </row>
    <row r="14" spans="1:12" s="2" customFormat="1" ht="14.1" customHeight="1" x14ac:dyDescent="0.2">
      <c r="A14" s="457" t="s">
        <v>1199</v>
      </c>
      <c r="B14" s="232"/>
      <c r="C14" s="587"/>
      <c r="D14" s="588"/>
      <c r="E14" s="589"/>
      <c r="F14" s="14"/>
      <c r="G14" s="14"/>
      <c r="H14" s="306" t="s">
        <v>495</v>
      </c>
      <c r="I14" s="19"/>
      <c r="K14" s="602" t="str">
        <f>IF($C$6="","",Datenquelle!F66)</f>
        <v/>
      </c>
      <c r="L14" s="603"/>
    </row>
    <row r="15" spans="1:12" ht="4.5" customHeight="1" x14ac:dyDescent="0.2">
      <c r="A15" s="19"/>
      <c r="B15" s="19"/>
      <c r="C15" s="19"/>
      <c r="D15" s="14"/>
      <c r="E15" s="14"/>
      <c r="F15" s="14"/>
      <c r="G15" s="14"/>
      <c r="H15" s="14"/>
      <c r="I15" s="14"/>
      <c r="K15" s="14"/>
      <c r="L15" s="4"/>
    </row>
    <row r="16" spans="1:12" s="2" customFormat="1" ht="13.5" customHeight="1" x14ac:dyDescent="0.2">
      <c r="A16" s="457" t="s">
        <v>706</v>
      </c>
      <c r="B16" s="232"/>
      <c r="C16" s="584"/>
      <c r="D16" s="585"/>
      <c r="E16" s="586"/>
      <c r="F16" s="19"/>
      <c r="G16" s="19"/>
      <c r="H16" s="9" t="s">
        <v>471</v>
      </c>
      <c r="I16" s="19"/>
      <c r="K16" s="598">
        <v>2024</v>
      </c>
      <c r="L16" s="599"/>
    </row>
    <row r="17" spans="1:12" s="2" customFormat="1" ht="4.5" customHeight="1" x14ac:dyDescent="0.2">
      <c r="A17" s="306"/>
      <c r="B17" s="306"/>
      <c r="C17" s="19"/>
      <c r="D17" s="19"/>
      <c r="E17" s="19"/>
      <c r="F17" s="19"/>
      <c r="G17" s="19"/>
      <c r="H17" s="9"/>
      <c r="I17" s="19"/>
      <c r="J17" s="307"/>
      <c r="K17" s="307"/>
      <c r="L17" s="19"/>
    </row>
    <row r="18" spans="1:12" s="2" customFormat="1" ht="11.25" customHeight="1" x14ac:dyDescent="0.2">
      <c r="G18" s="19"/>
      <c r="H18" s="308"/>
      <c r="I18" s="308"/>
      <c r="J18" s="308"/>
      <c r="K18" s="308"/>
      <c r="L18" s="308"/>
    </row>
    <row r="19" spans="1:12" s="2" customFormat="1" ht="13.5" customHeight="1" x14ac:dyDescent="0.2">
      <c r="G19" s="19"/>
      <c r="H19" s="308"/>
      <c r="I19" s="308"/>
      <c r="J19" s="308"/>
      <c r="K19" s="308"/>
      <c r="L19" s="308"/>
    </row>
    <row r="20" spans="1:12" s="2" customFormat="1" ht="4.5" customHeight="1" x14ac:dyDescent="0.2">
      <c r="A20" s="14"/>
      <c r="B20" s="14"/>
      <c r="C20" s="14"/>
      <c r="D20" s="14"/>
      <c r="E20" s="19"/>
      <c r="F20" s="19"/>
      <c r="G20" s="19"/>
      <c r="H20" s="14"/>
      <c r="I20" s="14"/>
      <c r="J20" s="19"/>
      <c r="K20" s="19"/>
      <c r="L20" s="19"/>
    </row>
    <row r="21" spans="1:12" s="2" customFormat="1" ht="15.95" customHeight="1" x14ac:dyDescent="0.2">
      <c r="A21" s="549" t="s">
        <v>5</v>
      </c>
      <c r="B21" s="550"/>
      <c r="C21" s="550"/>
      <c r="D21" s="550"/>
      <c r="E21" s="550"/>
      <c r="F21" s="551"/>
      <c r="G21" s="546" t="s">
        <v>1127</v>
      </c>
      <c r="H21" s="547"/>
      <c r="I21" s="547"/>
      <c r="J21" s="547"/>
      <c r="K21" s="547"/>
      <c r="L21" s="548"/>
    </row>
    <row r="22" spans="1:12" s="2" customFormat="1" ht="27" customHeight="1" x14ac:dyDescent="0.2">
      <c r="A22" s="570" t="str">
        <f>IF($C$6="","",Datenquelle!E66)</f>
        <v/>
      </c>
      <c r="B22" s="571"/>
      <c r="C22" s="571"/>
      <c r="D22" s="571"/>
      <c r="E22" s="571"/>
      <c r="F22" s="572"/>
      <c r="G22" s="604"/>
      <c r="H22" s="605"/>
      <c r="I22" s="605"/>
      <c r="J22" s="605"/>
      <c r="K22" s="605"/>
      <c r="L22" s="606"/>
    </row>
    <row r="23" spans="1:12" s="2" customFormat="1" ht="7.5" customHeight="1" x14ac:dyDescent="0.2">
      <c r="A23" s="14"/>
      <c r="B23" s="14"/>
      <c r="C23" s="14"/>
      <c r="D23" s="14"/>
      <c r="E23" s="19"/>
      <c r="F23" s="19"/>
      <c r="G23" s="14"/>
      <c r="I23" s="14"/>
      <c r="J23" s="19"/>
      <c r="K23" s="19"/>
      <c r="L23" s="19"/>
    </row>
    <row r="24" spans="1:12" s="2" customFormat="1" ht="15.95" customHeight="1" x14ac:dyDescent="0.2">
      <c r="A24" s="612" t="s">
        <v>740</v>
      </c>
      <c r="B24" s="612"/>
      <c r="C24" s="612"/>
      <c r="D24" s="612"/>
      <c r="E24" s="612"/>
      <c r="F24" s="612"/>
      <c r="G24" s="549" t="s">
        <v>309</v>
      </c>
      <c r="H24" s="550"/>
      <c r="I24" s="550"/>
      <c r="J24" s="550"/>
      <c r="K24" s="550"/>
      <c r="L24" s="551"/>
    </row>
    <row r="25" spans="1:12" s="2" customFormat="1" ht="24.95" customHeight="1" x14ac:dyDescent="0.2">
      <c r="A25" s="612" t="s">
        <v>420</v>
      </c>
      <c r="B25" s="612"/>
      <c r="C25" s="612"/>
      <c r="D25" s="612"/>
      <c r="E25" s="612"/>
      <c r="F25" s="612"/>
      <c r="G25" s="576"/>
      <c r="H25" s="577"/>
      <c r="I25" s="577"/>
      <c r="J25" s="577"/>
      <c r="K25" s="577"/>
      <c r="L25" s="578"/>
    </row>
    <row r="26" spans="1:12" s="2" customFormat="1" ht="23.25" customHeight="1" x14ac:dyDescent="0.2">
      <c r="A26" s="579"/>
      <c r="B26" s="579"/>
      <c r="C26" s="579"/>
      <c r="D26" s="579"/>
      <c r="E26" s="579"/>
      <c r="F26" s="579"/>
      <c r="G26" s="579"/>
      <c r="H26" s="579"/>
      <c r="I26" s="579"/>
      <c r="J26" s="579"/>
      <c r="K26" s="579"/>
      <c r="L26" s="579"/>
    </row>
    <row r="27" spans="1:12" s="2" customFormat="1" ht="31.5" customHeight="1" x14ac:dyDescent="0.2">
      <c r="A27" s="580" t="s">
        <v>872</v>
      </c>
      <c r="B27" s="581"/>
      <c r="C27" s="582"/>
      <c r="D27" s="573" t="s">
        <v>881</v>
      </c>
      <c r="E27" s="574"/>
      <c r="F27" s="574"/>
      <c r="G27" s="574"/>
      <c r="H27" s="574"/>
      <c r="I27" s="574"/>
      <c r="J27" s="574"/>
      <c r="K27" s="575"/>
      <c r="L27" s="607" t="s">
        <v>882</v>
      </c>
    </row>
    <row r="28" spans="1:12" s="2" customFormat="1" ht="9.75" customHeight="1" x14ac:dyDescent="0.2">
      <c r="A28" s="564" t="s">
        <v>1231</v>
      </c>
      <c r="B28" s="565"/>
      <c r="C28" s="566"/>
      <c r="D28" s="309" t="s">
        <v>1251</v>
      </c>
      <c r="E28" s="310" t="s">
        <v>298</v>
      </c>
      <c r="F28" s="311" t="s">
        <v>299</v>
      </c>
      <c r="G28" s="311" t="s">
        <v>300</v>
      </c>
      <c r="H28" s="312" t="s">
        <v>301</v>
      </c>
      <c r="I28" s="313" t="s">
        <v>48</v>
      </c>
      <c r="J28" s="314" t="s">
        <v>49</v>
      </c>
      <c r="K28" s="610" t="s">
        <v>657</v>
      </c>
      <c r="L28" s="608"/>
    </row>
    <row r="29" spans="1:12" s="2" customFormat="1" ht="42.75" customHeight="1" x14ac:dyDescent="0.2">
      <c r="A29" s="567"/>
      <c r="B29" s="568"/>
      <c r="C29" s="569"/>
      <c r="D29" s="315" t="s">
        <v>1252</v>
      </c>
      <c r="E29" s="316" t="s">
        <v>50</v>
      </c>
      <c r="F29" s="317" t="s">
        <v>51</v>
      </c>
      <c r="G29" s="317" t="s">
        <v>51</v>
      </c>
      <c r="H29" s="317" t="s">
        <v>51</v>
      </c>
      <c r="I29" s="318" t="s">
        <v>1147</v>
      </c>
      <c r="J29" s="318" t="s">
        <v>1148</v>
      </c>
      <c r="K29" s="611"/>
      <c r="L29" s="609"/>
    </row>
    <row r="30" spans="1:12" s="2" customFormat="1" ht="14.1" customHeight="1" x14ac:dyDescent="0.2">
      <c r="A30" s="562" t="s">
        <v>878</v>
      </c>
      <c r="B30" s="562"/>
      <c r="C30" s="563"/>
      <c r="D30" s="319"/>
      <c r="E30" s="319"/>
      <c r="F30" s="319"/>
      <c r="G30" s="319"/>
      <c r="H30" s="319"/>
      <c r="I30" s="319"/>
      <c r="J30" s="319"/>
      <c r="K30" s="320"/>
      <c r="L30" s="321" t="str">
        <f>IF(AND(D30="",E30="",F30="",G30="",H30="",I30="",J30="",K30=""),"",SUM(D30:K30))</f>
        <v/>
      </c>
    </row>
    <row r="31" spans="1:12" s="2" customFormat="1" ht="62.25" customHeight="1" x14ac:dyDescent="0.2">
      <c r="A31" s="583" t="s">
        <v>1197</v>
      </c>
      <c r="B31" s="583"/>
      <c r="C31" s="583"/>
      <c r="D31" s="319"/>
      <c r="E31" s="319"/>
      <c r="F31" s="319"/>
      <c r="G31" s="319"/>
      <c r="H31" s="319"/>
      <c r="I31" s="319"/>
      <c r="J31" s="319"/>
      <c r="K31" s="319"/>
      <c r="L31" s="321" t="str">
        <f>IF(AND(D31="",E31="",F31="",G31="",H31="",I31="",J31="",K31=""),"",SUM(D31:K31))</f>
        <v/>
      </c>
    </row>
    <row r="32" spans="1:12" s="2" customFormat="1" ht="9.9499999999999993" customHeight="1" x14ac:dyDescent="0.2">
      <c r="A32" s="517"/>
      <c r="B32" s="517"/>
      <c r="C32" s="518"/>
      <c r="D32" s="518"/>
      <c r="E32" s="518"/>
      <c r="F32" s="518"/>
      <c r="G32" s="518"/>
      <c r="H32" s="518"/>
      <c r="I32" s="518"/>
      <c r="J32" s="518"/>
      <c r="K32" s="518"/>
      <c r="L32" s="518"/>
    </row>
    <row r="33" spans="1:15" s="2" customFormat="1" ht="14.1" customHeight="1" x14ac:dyDescent="0.2">
      <c r="A33" s="531" t="s">
        <v>1200</v>
      </c>
      <c r="B33" s="532"/>
      <c r="C33" s="533"/>
      <c r="D33" s="27" t="str">
        <f t="shared" ref="D33:K33" si="0">IF(AND(D34="",D35=""),"",SUM(D34:D35))</f>
        <v/>
      </c>
      <c r="E33" s="27" t="str">
        <f t="shared" si="0"/>
        <v/>
      </c>
      <c r="F33" s="27" t="str">
        <f t="shared" si="0"/>
        <v/>
      </c>
      <c r="G33" s="27" t="str">
        <f t="shared" si="0"/>
        <v/>
      </c>
      <c r="H33" s="27" t="str">
        <f t="shared" si="0"/>
        <v/>
      </c>
      <c r="I33" s="27" t="str">
        <f t="shared" si="0"/>
        <v/>
      </c>
      <c r="J33" s="27" t="str">
        <f t="shared" si="0"/>
        <v/>
      </c>
      <c r="K33" s="27" t="str">
        <f t="shared" si="0"/>
        <v/>
      </c>
      <c r="L33" s="321" t="str">
        <f>IF(AND(D33="",E33="",F33="",G33="",H33="",I33="",J33="",K33=""),"",SUM(D33:K33))</f>
        <v/>
      </c>
    </row>
    <row r="34" spans="1:15" s="2" customFormat="1" ht="14.1" customHeight="1" x14ac:dyDescent="0.2">
      <c r="A34" s="521" t="s">
        <v>879</v>
      </c>
      <c r="B34" s="521"/>
      <c r="C34" s="522"/>
      <c r="D34" s="319"/>
      <c r="E34" s="319"/>
      <c r="F34" s="319"/>
      <c r="G34" s="319"/>
      <c r="H34" s="319"/>
      <c r="I34" s="319"/>
      <c r="J34" s="319"/>
      <c r="K34" s="320"/>
      <c r="L34" s="321" t="str">
        <f>IF(AND(D34="",E34="",F34="",G34="",H34="",I34="",J34="",K34=""),"",SUM(D34:K34))</f>
        <v/>
      </c>
    </row>
    <row r="35" spans="1:15" s="2" customFormat="1" ht="14.1" customHeight="1" x14ac:dyDescent="0.2">
      <c r="A35" s="521" t="s">
        <v>880</v>
      </c>
      <c r="B35" s="521"/>
      <c r="C35" s="522"/>
      <c r="D35" s="319"/>
      <c r="E35" s="319"/>
      <c r="F35" s="319"/>
      <c r="G35" s="319"/>
      <c r="H35" s="319"/>
      <c r="I35" s="319"/>
      <c r="J35" s="319"/>
      <c r="K35" s="320"/>
      <c r="L35" s="321" t="str">
        <f>IF(AND(D35="",E35="",F35="",G35="",H35="",I35="",J35="",K35=""),"",SUM(D35:K35))</f>
        <v/>
      </c>
    </row>
    <row r="36" spans="1:15" s="2" customFormat="1" ht="33.75" customHeight="1" x14ac:dyDescent="0.2">
      <c r="A36" s="527" t="s">
        <v>1035</v>
      </c>
      <c r="B36" s="528"/>
      <c r="C36" s="529"/>
      <c r="D36" s="323"/>
      <c r="E36" s="323"/>
      <c r="F36" s="323"/>
      <c r="G36" s="323"/>
      <c r="H36" s="323"/>
      <c r="I36" s="323"/>
      <c r="J36" s="323"/>
      <c r="K36" s="323"/>
      <c r="L36" s="321" t="str">
        <f>IF(AND(D36="",E36="",F36="",G36="",H36="",I36="",J36="",K36=""),"",SUM(D36:K36))</f>
        <v/>
      </c>
    </row>
    <row r="37" spans="1:15" s="2" customFormat="1" ht="9.9499999999999993" customHeight="1" x14ac:dyDescent="0.2">
      <c r="A37" s="530"/>
      <c r="B37" s="530"/>
      <c r="C37" s="530"/>
      <c r="D37" s="322"/>
      <c r="E37" s="322"/>
      <c r="F37" s="322"/>
      <c r="G37" s="322"/>
      <c r="H37" s="322"/>
      <c r="I37" s="322"/>
      <c r="J37" s="322"/>
      <c r="K37" s="322"/>
      <c r="L37" s="322"/>
    </row>
    <row r="38" spans="1:15" s="2" customFormat="1" ht="24.75" customHeight="1" x14ac:dyDescent="0.2">
      <c r="A38" s="523" t="s">
        <v>873</v>
      </c>
      <c r="B38" s="523"/>
      <c r="C38" s="523"/>
      <c r="D38" s="524" t="s">
        <v>52</v>
      </c>
      <c r="E38" s="525"/>
      <c r="F38" s="525"/>
      <c r="G38" s="526"/>
      <c r="H38" s="524" t="s">
        <v>53</v>
      </c>
      <c r="I38" s="525"/>
      <c r="J38" s="525"/>
      <c r="K38" s="526"/>
      <c r="L38" s="324" t="s">
        <v>883</v>
      </c>
      <c r="M38" s="304"/>
    </row>
    <row r="39" spans="1:15" s="2" customFormat="1" ht="14.1" customHeight="1" x14ac:dyDescent="0.2">
      <c r="A39" s="519" t="s">
        <v>885</v>
      </c>
      <c r="B39" s="519"/>
      <c r="C39" s="519"/>
      <c r="D39" s="557"/>
      <c r="E39" s="558"/>
      <c r="F39" s="558"/>
      <c r="G39" s="559"/>
      <c r="H39" s="557"/>
      <c r="I39" s="558"/>
      <c r="J39" s="558"/>
      <c r="K39" s="559"/>
      <c r="L39" s="127" t="str">
        <f>IF(AND(D39="",H39=""),"",SUM(D39:K39))</f>
        <v/>
      </c>
    </row>
    <row r="40" spans="1:15" s="2" customFormat="1" ht="14.1" customHeight="1" x14ac:dyDescent="0.2">
      <c r="A40" s="520" t="s">
        <v>884</v>
      </c>
      <c r="B40" s="520"/>
      <c r="C40" s="520"/>
      <c r="D40" s="557"/>
      <c r="E40" s="558"/>
      <c r="F40" s="558"/>
      <c r="G40" s="559"/>
      <c r="H40" s="557"/>
      <c r="I40" s="558"/>
      <c r="J40" s="558"/>
      <c r="K40" s="559"/>
      <c r="L40" s="127" t="str">
        <f>IF(AND(D40="",H40=""),"",D40*2+H40*2)</f>
        <v/>
      </c>
    </row>
    <row r="41" spans="1:15" s="2" customFormat="1" ht="14.1" customHeight="1" x14ac:dyDescent="0.2">
      <c r="A41" s="534"/>
      <c r="B41" s="535"/>
      <c r="C41" s="536"/>
      <c r="D41" s="84"/>
      <c r="E41" s="325"/>
      <c r="F41" s="325"/>
      <c r="G41" s="325"/>
      <c r="H41" s="325"/>
      <c r="I41" s="325"/>
      <c r="J41" s="325"/>
      <c r="K41" s="325"/>
      <c r="L41" s="326" t="str">
        <f>IF(AND(L39="",L40=""),"",SUM(L39:L40))</f>
        <v/>
      </c>
    </row>
    <row r="42" spans="1:15" s="2" customFormat="1" ht="14.1" customHeight="1" x14ac:dyDescent="0.2">
      <c r="A42" s="556" t="s">
        <v>302</v>
      </c>
      <c r="B42" s="556"/>
      <c r="C42" s="556"/>
      <c r="D42" s="553" t="str">
        <f>IF(AND(D39="",D40=""),"",SUM(D39:G40))</f>
        <v/>
      </c>
      <c r="E42" s="554"/>
      <c r="F42" s="554"/>
      <c r="G42" s="555"/>
      <c r="H42" s="553" t="str">
        <f>IF(AND(H39="",H40=""),"",SUM(H39:K40))</f>
        <v/>
      </c>
      <c r="I42" s="554"/>
      <c r="J42" s="554"/>
      <c r="K42" s="555"/>
      <c r="L42" s="327"/>
    </row>
    <row r="43" spans="1:15" s="2" customFormat="1" ht="9.9499999999999993" customHeight="1" x14ac:dyDescent="0.2">
      <c r="A43" s="328"/>
      <c r="B43" s="328"/>
      <c r="C43" s="328"/>
      <c r="D43" s="329"/>
      <c r="E43" s="329"/>
      <c r="F43" s="329"/>
      <c r="G43" s="329"/>
      <c r="H43" s="329"/>
      <c r="I43" s="329"/>
      <c r="J43" s="329"/>
      <c r="K43" s="329"/>
      <c r="L43" s="330"/>
    </row>
    <row r="44" spans="1:15" s="2" customFormat="1" ht="35.25" customHeight="1" x14ac:dyDescent="0.2">
      <c r="A44" s="556" t="s">
        <v>1230</v>
      </c>
      <c r="B44" s="556"/>
      <c r="C44" s="556"/>
      <c r="D44" s="556"/>
      <c r="E44" s="556"/>
      <c r="F44" s="556"/>
      <c r="G44" s="556"/>
      <c r="H44" s="556"/>
      <c r="I44" s="556"/>
      <c r="J44" s="560"/>
      <c r="K44" s="561"/>
      <c r="L44" s="330"/>
    </row>
    <row r="45" spans="1:15" s="2" customFormat="1" ht="11.25" customHeight="1" x14ac:dyDescent="0.2">
      <c r="A45" s="328"/>
      <c r="B45" s="328"/>
      <c r="C45" s="328"/>
      <c r="D45" s="328"/>
      <c r="E45" s="328"/>
      <c r="F45" s="328"/>
      <c r="G45" s="328"/>
      <c r="H45" s="328"/>
      <c r="I45" s="328"/>
      <c r="J45" s="329"/>
      <c r="K45" s="329"/>
      <c r="L45" s="330"/>
    </row>
    <row r="46" spans="1:15" s="2" customFormat="1" ht="81" customHeight="1" x14ac:dyDescent="0.2">
      <c r="A46" s="552" t="s">
        <v>1232</v>
      </c>
      <c r="B46" s="552"/>
      <c r="C46" s="552"/>
      <c r="D46" s="552"/>
      <c r="E46" s="552"/>
      <c r="F46" s="552"/>
      <c r="G46" s="552"/>
      <c r="H46" s="552"/>
      <c r="I46" s="552"/>
      <c r="J46" s="552"/>
      <c r="K46" s="552"/>
      <c r="L46" s="552"/>
    </row>
    <row r="47" spans="1:15" s="2" customFormat="1" ht="18.75" customHeight="1" x14ac:dyDescent="0.2">
      <c r="A47" s="539" t="s">
        <v>437</v>
      </c>
      <c r="B47" s="539"/>
      <c r="C47" s="539"/>
      <c r="D47" s="539"/>
      <c r="E47" s="539"/>
      <c r="F47" s="539"/>
      <c r="G47" s="539"/>
      <c r="H47" s="539"/>
      <c r="I47" s="539"/>
      <c r="J47" s="539"/>
      <c r="K47" s="539"/>
      <c r="L47" s="539"/>
      <c r="O47" s="2" t="s">
        <v>54</v>
      </c>
    </row>
    <row r="48" spans="1:15" s="2" customFormat="1" ht="57.75" customHeight="1" x14ac:dyDescent="0.2">
      <c r="A48" s="540" t="s">
        <v>876</v>
      </c>
      <c r="B48" s="541"/>
      <c r="C48" s="541"/>
      <c r="D48" s="541"/>
      <c r="E48" s="541"/>
      <c r="F48" s="541"/>
      <c r="G48" s="541"/>
      <c r="H48" s="541"/>
      <c r="I48" s="541"/>
      <c r="J48" s="541"/>
      <c r="K48" s="541"/>
      <c r="L48" s="541"/>
    </row>
    <row r="49" spans="1:12" s="2" customFormat="1" ht="11.25" customHeight="1" x14ac:dyDescent="0.2">
      <c r="A49" s="543" t="s">
        <v>1129</v>
      </c>
      <c r="B49" s="543"/>
      <c r="C49" s="544"/>
      <c r="D49" s="544"/>
      <c r="E49" s="544"/>
      <c r="F49" s="544"/>
      <c r="G49" s="544"/>
      <c r="H49" s="544"/>
      <c r="I49" s="544"/>
      <c r="J49" s="544"/>
      <c r="K49" s="544"/>
      <c r="L49" s="544"/>
    </row>
    <row r="50" spans="1:12" s="2" customFormat="1" ht="23.25" customHeight="1" x14ac:dyDescent="0.2">
      <c r="A50" s="545" t="s">
        <v>1130</v>
      </c>
      <c r="B50" s="545"/>
      <c r="C50" s="545"/>
      <c r="D50" s="545"/>
      <c r="E50" s="545"/>
      <c r="F50" s="545"/>
      <c r="G50" s="545"/>
      <c r="H50" s="545"/>
      <c r="I50" s="545"/>
      <c r="J50" s="545"/>
      <c r="K50" s="545"/>
      <c r="L50" s="545"/>
    </row>
    <row r="51" spans="1:12" s="2" customFormat="1" ht="33.75" customHeight="1" x14ac:dyDescent="0.2">
      <c r="A51" s="540" t="s">
        <v>669</v>
      </c>
      <c r="B51" s="540"/>
      <c r="C51" s="540"/>
      <c r="D51" s="540"/>
      <c r="E51" s="540"/>
      <c r="F51" s="540"/>
      <c r="G51" s="540"/>
      <c r="H51" s="540"/>
      <c r="I51" s="540"/>
      <c r="J51" s="540"/>
      <c r="K51" s="540"/>
      <c r="L51" s="540"/>
    </row>
    <row r="52" spans="1:12" s="2" customFormat="1" ht="33.75" customHeight="1" x14ac:dyDescent="0.2">
      <c r="A52" s="542" t="s">
        <v>1236</v>
      </c>
      <c r="B52" s="542"/>
      <c r="C52" s="542"/>
      <c r="D52" s="542"/>
      <c r="E52" s="542"/>
      <c r="F52" s="542"/>
      <c r="G52" s="542"/>
      <c r="H52" s="542"/>
      <c r="I52" s="542"/>
      <c r="J52" s="542"/>
      <c r="K52" s="542"/>
      <c r="L52" s="542"/>
    </row>
    <row r="53" spans="1:12" s="2" customFormat="1" ht="21.75" customHeight="1" x14ac:dyDescent="0.2">
      <c r="A53" s="542" t="s">
        <v>1233</v>
      </c>
      <c r="B53" s="542"/>
      <c r="C53" s="542"/>
      <c r="D53" s="542"/>
      <c r="E53" s="542"/>
      <c r="F53" s="542"/>
      <c r="G53" s="542"/>
      <c r="H53" s="542"/>
      <c r="I53" s="542"/>
      <c r="J53" s="542"/>
      <c r="K53" s="542"/>
      <c r="L53" s="542"/>
    </row>
    <row r="54" spans="1:12" s="2" customFormat="1" ht="33.75" customHeight="1" x14ac:dyDescent="0.2">
      <c r="A54" s="543" t="s">
        <v>1235</v>
      </c>
      <c r="B54" s="543"/>
      <c r="C54" s="543"/>
      <c r="D54" s="543"/>
      <c r="E54" s="543"/>
      <c r="F54" s="543"/>
      <c r="G54" s="543"/>
      <c r="H54" s="543"/>
      <c r="I54" s="543"/>
      <c r="J54" s="543"/>
      <c r="K54" s="543"/>
      <c r="L54" s="543"/>
    </row>
    <row r="55" spans="1:12" s="2" customFormat="1" ht="22.5" customHeight="1" x14ac:dyDescent="0.2">
      <c r="A55" s="542" t="s">
        <v>1234</v>
      </c>
      <c r="B55" s="542"/>
      <c r="C55" s="542"/>
      <c r="D55" s="542"/>
      <c r="E55" s="542"/>
      <c r="F55" s="542"/>
      <c r="G55" s="542"/>
      <c r="H55" s="542"/>
      <c r="I55" s="542"/>
      <c r="J55" s="542"/>
      <c r="K55" s="542"/>
      <c r="L55" s="542"/>
    </row>
    <row r="56" spans="1:12" s="2" customFormat="1" ht="93" customHeight="1" x14ac:dyDescent="0.2">
      <c r="A56" s="537" t="s">
        <v>919</v>
      </c>
      <c r="B56" s="538"/>
      <c r="C56" s="538"/>
      <c r="D56" s="538"/>
      <c r="E56" s="538"/>
      <c r="F56" s="538"/>
      <c r="G56" s="538"/>
      <c r="H56" s="538"/>
      <c r="I56" s="538"/>
      <c r="J56" s="538"/>
      <c r="K56" s="538"/>
      <c r="L56" s="538"/>
    </row>
    <row r="69" spans="3:12" ht="71.25" hidden="1" x14ac:dyDescent="0.2">
      <c r="C69" s="403" t="str">
        <f>Berechnung1!C24</f>
        <v>Primärfälle</v>
      </c>
      <c r="D69" s="404" t="str">
        <f>Berechnung1!D24</f>
        <v xml:space="preserve">Tis (= DCIS, Paget)
(N0, M0) </v>
      </c>
      <c r="E69" s="404" t="str">
        <f>Berechnung1!E24</f>
        <v xml:space="preserve">T1 (N0, M0) </v>
      </c>
      <c r="F69" s="404" t="str">
        <f>Berechnung1!F24</f>
        <v>T2 (N0, M0)</v>
      </c>
      <c r="G69" s="404" t="str">
        <f>Berechnung1!G24</f>
        <v>T3 (N0, M0)</v>
      </c>
      <c r="H69" s="404" t="str">
        <f>Berechnung1!H24</f>
        <v>T4 (N0, M0)</v>
      </c>
      <c r="I69" s="404" t="str">
        <f>Berechnung1!I24</f>
        <v>N+ (jedes T inkl. Tis/Tx 2a), M0)</v>
      </c>
      <c r="J69" s="404" t="str">
        <f>Berechnung1!J24</f>
        <v>M1 (jedes N, jedes T inkl. Tis/Tx2b))</v>
      </c>
      <c r="K69" s="404" t="str">
        <f>Berechnung1!K24</f>
        <v xml:space="preserve">nicht zuzu-ordnen </v>
      </c>
      <c r="L69" s="404" t="str">
        <f>Berechnung1!L24</f>
        <v>Gesamt</v>
      </c>
    </row>
    <row r="70" spans="3:12" hidden="1" x14ac:dyDescent="0.2">
      <c r="C70" s="403" t="str">
        <f>Berechnung1!C25</f>
        <v>Gesamt</v>
      </c>
      <c r="D70" s="404">
        <f>Berechnung1!D25</f>
        <v>0</v>
      </c>
      <c r="E70" s="404">
        <f>Berechnung1!E25</f>
        <v>0</v>
      </c>
      <c r="F70" s="404">
        <f>Berechnung1!F25</f>
        <v>0</v>
      </c>
      <c r="G70" s="404">
        <f>Berechnung1!G25</f>
        <v>0</v>
      </c>
      <c r="H70" s="404">
        <f>Berechnung1!H25</f>
        <v>0</v>
      </c>
      <c r="I70" s="404">
        <f>Berechnung1!I25</f>
        <v>0</v>
      </c>
      <c r="J70" s="404">
        <f>Berechnung1!J25</f>
        <v>0</v>
      </c>
      <c r="K70" s="404">
        <f>Berechnung1!K25</f>
        <v>0</v>
      </c>
      <c r="L70" s="404" t="str">
        <f>Berechnung1!L25</f>
        <v/>
      </c>
    </row>
    <row r="71" spans="3:12" ht="32.25" hidden="1" customHeight="1" x14ac:dyDescent="0.2">
      <c r="C71" s="460" t="str">
        <f>Berechnung1!C26</f>
        <v>davon Primärfälle mit neoadjuvanter o. präoperativer systemischer Therapie mit geplanter OP 
(Bsp.: 12/24 ED, 1-6/25 neoadj. Th., Audit 7/25) ***</v>
      </c>
      <c r="D71" s="404">
        <f>Berechnung1!D26</f>
        <v>0</v>
      </c>
      <c r="E71" s="404">
        <f>Berechnung1!E26</f>
        <v>0</v>
      </c>
      <c r="F71" s="404">
        <f>Berechnung1!F26</f>
        <v>0</v>
      </c>
      <c r="G71" s="404">
        <f>Berechnung1!G26</f>
        <v>0</v>
      </c>
      <c r="H71" s="404">
        <f>Berechnung1!H26</f>
        <v>0</v>
      </c>
      <c r="I71" s="404">
        <f>Berechnung1!I26</f>
        <v>0</v>
      </c>
      <c r="J71" s="404">
        <f>Berechnung1!J26</f>
        <v>0</v>
      </c>
      <c r="K71" s="404">
        <f>Berechnung1!K26</f>
        <v>0</v>
      </c>
      <c r="L71" s="404" t="str">
        <f>Berechnung1!L26</f>
        <v/>
      </c>
    </row>
    <row r="72" spans="3:12" hidden="1" x14ac:dyDescent="0.2">
      <c r="C72" s="403" t="str">
        <f>Berechnung1!C28</f>
        <v>davon Operiert</v>
      </c>
      <c r="D72" s="404" t="str">
        <f>Berechnung1!D28</f>
        <v/>
      </c>
      <c r="E72" s="404" t="str">
        <f>Berechnung1!E28</f>
        <v/>
      </c>
      <c r="F72" s="404" t="str">
        <f>Berechnung1!F28</f>
        <v/>
      </c>
      <c r="G72" s="404" t="str">
        <f>Berechnung1!G28</f>
        <v/>
      </c>
      <c r="H72" s="404" t="str">
        <f>Berechnung1!H28</f>
        <v/>
      </c>
      <c r="I72" s="404" t="str">
        <f>Berechnung1!I28</f>
        <v/>
      </c>
      <c r="J72" s="404" t="str">
        <f>Berechnung1!J28</f>
        <v/>
      </c>
      <c r="K72" s="404" t="str">
        <f>Berechnung1!K28</f>
        <v/>
      </c>
      <c r="L72" s="404" t="str">
        <f>Berechnung1!L28</f>
        <v/>
      </c>
    </row>
    <row r="73" spans="3:12" hidden="1" x14ac:dyDescent="0.2">
      <c r="C73" s="403" t="str">
        <f>Berechnung1!C29</f>
        <v xml:space="preserve">   Mit BET 3)</v>
      </c>
      <c r="D73" s="404">
        <f>Berechnung1!D29</f>
        <v>0</v>
      </c>
      <c r="E73" s="404">
        <f>Berechnung1!E29</f>
        <v>0</v>
      </c>
      <c r="F73" s="404">
        <f>Berechnung1!F29</f>
        <v>0</v>
      </c>
      <c r="G73" s="404">
        <f>Berechnung1!G29</f>
        <v>0</v>
      </c>
      <c r="H73" s="404">
        <f>Berechnung1!H29</f>
        <v>0</v>
      </c>
      <c r="I73" s="404">
        <f>Berechnung1!I29</f>
        <v>0</v>
      </c>
      <c r="J73" s="404">
        <f>Berechnung1!J29</f>
        <v>0</v>
      </c>
      <c r="K73" s="404">
        <f>Berechnung1!K29</f>
        <v>0</v>
      </c>
      <c r="L73" s="404" t="str">
        <f>Berechnung1!L29</f>
        <v/>
      </c>
    </row>
    <row r="74" spans="3:12" ht="28.5" hidden="1" x14ac:dyDescent="0.2">
      <c r="C74" s="403" t="str">
        <f>Berechnung1!C30</f>
        <v xml:space="preserve">   Mastektomien 3)</v>
      </c>
      <c r="D74" s="404">
        <f>Berechnung1!D30</f>
        <v>0</v>
      </c>
      <c r="E74" s="404">
        <f>Berechnung1!E30</f>
        <v>0</v>
      </c>
      <c r="F74" s="404">
        <f>Berechnung1!F30</f>
        <v>0</v>
      </c>
      <c r="G74" s="404">
        <f>Berechnung1!G30</f>
        <v>0</v>
      </c>
      <c r="H74" s="404">
        <f>Berechnung1!H30</f>
        <v>0</v>
      </c>
      <c r="I74" s="404">
        <f>Berechnung1!I30</f>
        <v>0</v>
      </c>
      <c r="J74" s="404">
        <f>Berechnung1!J30</f>
        <v>0</v>
      </c>
      <c r="K74" s="404">
        <f>Berechnung1!K30</f>
        <v>0</v>
      </c>
      <c r="L74" s="404" t="str">
        <f>Berechnung1!L30</f>
        <v/>
      </c>
    </row>
    <row r="75" spans="3:12" hidden="1" x14ac:dyDescent="0.2">
      <c r="C75" s="403" t="str">
        <f>Berechnung1!C31</f>
        <v>BET</v>
      </c>
      <c r="D75" s="404">
        <f>Berechnung1!D31</f>
        <v>0</v>
      </c>
      <c r="E75" s="404">
        <f>Berechnung1!E31</f>
        <v>0</v>
      </c>
      <c r="F75" s="404">
        <f>Berechnung1!F31</f>
        <v>0</v>
      </c>
      <c r="G75" s="404">
        <f>Berechnung1!G31</f>
        <v>0</v>
      </c>
      <c r="H75" s="404">
        <f>Berechnung1!H31</f>
        <v>0</v>
      </c>
      <c r="I75" s="404">
        <f>Berechnung1!I31</f>
        <v>0</v>
      </c>
      <c r="J75" s="404">
        <f>Berechnung1!J31</f>
        <v>0</v>
      </c>
      <c r="K75" s="404">
        <f>Berechnung1!K31</f>
        <v>0</v>
      </c>
      <c r="L75" s="404">
        <f>Berechnung1!L31</f>
        <v>0</v>
      </c>
    </row>
    <row r="76" spans="3:12" hidden="1" x14ac:dyDescent="0.2">
      <c r="C76" s="403" t="str">
        <f>Berechnung1!C32</f>
        <v>Mastektomie</v>
      </c>
      <c r="D76" s="404">
        <f>Berechnung1!D32</f>
        <v>0</v>
      </c>
      <c r="E76" s="404">
        <f>Berechnung1!E32</f>
        <v>0</v>
      </c>
      <c r="F76" s="404">
        <f>Berechnung1!F32</f>
        <v>0</v>
      </c>
      <c r="G76" s="404">
        <f>Berechnung1!G32</f>
        <v>0</v>
      </c>
      <c r="H76" s="404">
        <f>Berechnung1!H32</f>
        <v>0</v>
      </c>
      <c r="I76" s="404">
        <f>Berechnung1!I32</f>
        <v>0</v>
      </c>
      <c r="J76" s="404">
        <f>Berechnung1!J32</f>
        <v>0</v>
      </c>
      <c r="K76" s="404">
        <f>Berechnung1!K32</f>
        <v>0</v>
      </c>
      <c r="L76" s="404">
        <f>Berechnung1!L32</f>
        <v>0</v>
      </c>
    </row>
    <row r="101" spans="15:15" hidden="1" x14ac:dyDescent="0.2">
      <c r="O101" s="1" t="b">
        <f>IF(Basisdaten!E33="",Basisdaten!F33="",Basisdaten!G33="")</f>
        <v>1</v>
      </c>
    </row>
  </sheetData>
  <sheetProtection password="CA09" sheet="1" objects="1" scenarios="1" selectLockedCells="1"/>
  <dataConsolidate link="1"/>
  <mergeCells count="58">
    <mergeCell ref="A31:C31"/>
    <mergeCell ref="C16:E16"/>
    <mergeCell ref="C12:E12"/>
    <mergeCell ref="C14:E14"/>
    <mergeCell ref="J6:L6"/>
    <mergeCell ref="C10:L10"/>
    <mergeCell ref="C8:L8"/>
    <mergeCell ref="C6:E6"/>
    <mergeCell ref="K16:L16"/>
    <mergeCell ref="K12:L12"/>
    <mergeCell ref="K14:L14"/>
    <mergeCell ref="G22:L22"/>
    <mergeCell ref="L27:L29"/>
    <mergeCell ref="K28:K29"/>
    <mergeCell ref="A24:F24"/>
    <mergeCell ref="A25:F25"/>
    <mergeCell ref="A22:F22"/>
    <mergeCell ref="D27:K27"/>
    <mergeCell ref="G25:L25"/>
    <mergeCell ref="A26:L26"/>
    <mergeCell ref="A27:C27"/>
    <mergeCell ref="G21:L21"/>
    <mergeCell ref="A21:F21"/>
    <mergeCell ref="A46:L46"/>
    <mergeCell ref="D42:G42"/>
    <mergeCell ref="H42:K42"/>
    <mergeCell ref="A44:I44"/>
    <mergeCell ref="G24:L24"/>
    <mergeCell ref="H38:K38"/>
    <mergeCell ref="D39:G39"/>
    <mergeCell ref="D40:G40"/>
    <mergeCell ref="H39:K39"/>
    <mergeCell ref="H40:K40"/>
    <mergeCell ref="J44:K44"/>
    <mergeCell ref="A30:C30"/>
    <mergeCell ref="A28:C29"/>
    <mergeCell ref="A42:C42"/>
    <mergeCell ref="A41:C41"/>
    <mergeCell ref="A56:L56"/>
    <mergeCell ref="A47:L47"/>
    <mergeCell ref="A48:L48"/>
    <mergeCell ref="A51:L51"/>
    <mergeCell ref="A52:L52"/>
    <mergeCell ref="A55:L55"/>
    <mergeCell ref="A54:L54"/>
    <mergeCell ref="A53:L53"/>
    <mergeCell ref="A49:L49"/>
    <mergeCell ref="A50:L50"/>
    <mergeCell ref="A32:L32"/>
    <mergeCell ref="A39:C39"/>
    <mergeCell ref="A40:C40"/>
    <mergeCell ref="A35:C35"/>
    <mergeCell ref="A38:C38"/>
    <mergeCell ref="D38:G38"/>
    <mergeCell ref="A36:C36"/>
    <mergeCell ref="A37:C37"/>
    <mergeCell ref="A33:C33"/>
    <mergeCell ref="A34:C34"/>
  </mergeCells>
  <phoneticPr fontId="34" type="noConversion"/>
  <conditionalFormatting sqref="C6">
    <cfRule type="expression" dxfId="176" priority="37" stopIfTrue="1">
      <formula>LEN(TRIM(C6))=0</formula>
    </cfRule>
  </conditionalFormatting>
  <conditionalFormatting sqref="C12">
    <cfRule type="expression" dxfId="175" priority="4" stopIfTrue="1">
      <formula>LEN(TRIM(C12))=0</formula>
    </cfRule>
  </conditionalFormatting>
  <conditionalFormatting sqref="C14">
    <cfRule type="expression" dxfId="174" priority="3" stopIfTrue="1">
      <formula>LEN(TRIM(C14))=0</formula>
    </cfRule>
  </conditionalFormatting>
  <conditionalFormatting sqref="C16">
    <cfRule type="expression" dxfId="173" priority="38" stopIfTrue="1">
      <formula>LEN(TRIM(C16))=0</formula>
    </cfRule>
  </conditionalFormatting>
  <conditionalFormatting sqref="D39:D40">
    <cfRule type="expression" dxfId="172" priority="16" stopIfTrue="1">
      <formula>LEN(TRIM(D39))=0</formula>
    </cfRule>
  </conditionalFormatting>
  <conditionalFormatting sqref="D30:K31">
    <cfRule type="expression" dxfId="171" priority="44" stopIfTrue="1">
      <formula>LEN(TRIM(D30))=0</formula>
    </cfRule>
  </conditionalFormatting>
  <conditionalFormatting sqref="D34:K34">
    <cfRule type="expression" dxfId="170" priority="49" stopIfTrue="1">
      <formula>LEN(TRIM(D34))=0</formula>
    </cfRule>
  </conditionalFormatting>
  <conditionalFormatting sqref="D35:K36">
    <cfRule type="expression" dxfId="169" priority="18" stopIfTrue="1">
      <formula>LEN(TRIM(D35))=0</formula>
    </cfRule>
  </conditionalFormatting>
  <conditionalFormatting sqref="G22">
    <cfRule type="expression" dxfId="168" priority="57" stopIfTrue="1">
      <formula>LEN(TRIM(G22))=0</formula>
    </cfRule>
  </conditionalFormatting>
  <conditionalFormatting sqref="G25">
    <cfRule type="expression" dxfId="167" priority="40" stopIfTrue="1">
      <formula>LEN(TRIM(G25))=0</formula>
    </cfRule>
  </conditionalFormatting>
  <conditionalFormatting sqref="H39:H40">
    <cfRule type="expression" dxfId="166" priority="6" stopIfTrue="1">
      <formula>LEN(TRIM(H39))=0</formula>
    </cfRule>
  </conditionalFormatting>
  <conditionalFormatting sqref="J44">
    <cfRule type="expression" dxfId="165" priority="5" stopIfTrue="1">
      <formula>LEN(TRIM(J44))=0</formula>
    </cfRule>
  </conditionalFormatting>
  <conditionalFormatting sqref="K12">
    <cfRule type="expression" dxfId="164" priority="39" stopIfTrue="1">
      <formula>LEN(TRIM(K12))=0</formula>
    </cfRule>
  </conditionalFormatting>
  <conditionalFormatting sqref="K36">
    <cfRule type="expression" priority="19" stopIfTrue="1">
      <formula>LEN(TRIM(K36))=0</formula>
    </cfRule>
  </conditionalFormatting>
  <conditionalFormatting sqref="L30">
    <cfRule type="expression" dxfId="163" priority="8" stopIfTrue="1">
      <formula>OR($L$41="",$L$41="")</formula>
    </cfRule>
    <cfRule type="cellIs" dxfId="162" priority="9" stopIfTrue="1" operator="notEqual">
      <formula>$L$41</formula>
    </cfRule>
    <cfRule type="cellIs" dxfId="161" priority="10" stopIfTrue="1" operator="equal">
      <formula>$L$41</formula>
    </cfRule>
  </conditionalFormatting>
  <conditionalFormatting sqref="L41">
    <cfRule type="containsBlanks" dxfId="160" priority="11" stopIfTrue="1">
      <formula>LEN(TRIM(L41))=0</formula>
    </cfRule>
    <cfRule type="cellIs" dxfId="159" priority="12" stopIfTrue="1" operator="notEqual">
      <formula>$L$30</formula>
    </cfRule>
    <cfRule type="cellIs" dxfId="158" priority="13" stopIfTrue="1" operator="equal">
      <formula>$L$30</formula>
    </cfRule>
  </conditionalFormatting>
  <conditionalFormatting sqref="C12:E12">
    <cfRule type="expression" dxfId="157" priority="2">
      <formula>IF(OR($A$22="Österreich",$A$22="Schweiz",$A$22="Italien",$A$22="Luxemburg",$A$22="Polen",$A$22="Rumänien",$A$22="China",$A$22="Russland"),TRUE,FALSE)</formula>
    </cfRule>
  </conditionalFormatting>
  <conditionalFormatting sqref="C14:E14">
    <cfRule type="expression" dxfId="156" priority="1">
      <formula>IF(OR($A$22="Österreich",$A$22="Schweiz",$A$22="Italien",$A$22="Luxemburg",$A$22="Polen",$A$22="Rumänien",$A$22="China",$A$22="Russland"),TRUE,FALSE)</formula>
    </cfRule>
  </conditionalFormatting>
  <dataValidations xWindow="315" yWindow="383" count="21">
    <dataValidation allowBlank="1" showInputMessage="1" showErrorMessage="1" errorTitle="Eingabefehler" sqref="K14"/>
    <dataValidation type="list" showInputMessage="1" showErrorMessage="1" errorTitle="Hinweis" error="Auswahl treffen über Dropdown-Liste." sqref="G25:L25">
      <formula1>Tumordokumentation</formula1>
    </dataValidation>
    <dataValidation type="date" errorStyle="information" allowBlank="1" showInputMessage="1" showErrorMessage="1" errorTitle="Kennzahlenjahr" error="Es können nur Kennzahlenjahre von 2012 bis 2014 eingetragen werden." sqref="J17:K17">
      <formula1>2010</formula1>
      <formula2>2012</formula2>
    </dataValidation>
    <dataValidation type="list" allowBlank="1" showInputMessage="1" showErrorMessage="1" errorTitle="Hinweis" error="Auswahl treffen über Dropdown-Liste." sqref="I19:L19">
      <formula1>Universitätsstatus</formula1>
    </dataValidation>
    <dataValidation type="list" showInputMessage="1" showErrorMessage="1" errorTitle="Hinweis" error="Auswahl treffen über Dropdown-Liste." sqref="C6">
      <formula1>Zentrum1</formula1>
    </dataValidation>
    <dataValidation type="date" allowBlank="1" showErrorMessage="1" errorTitle="Eingabefehler" error="Format: tt.mm.jjjj_x000a__x000a_Zeitraum zwischen 01.10.2024 - 31.01.2026 angeben." sqref="K12:L12">
      <formula1>45566</formula1>
      <formula2>46053</formula2>
    </dataValidation>
    <dataValidation operator="greaterThan" allowBlank="1" showInputMessage="1" showErrorMessage="1" sqref="L30:L31 L33:L37"/>
    <dataValidation errorStyle="information" allowBlank="1" showInputMessage="1" showErrorMessage="1" errorTitle="Kennzahlenjahr" error="Es können nur Kennzahlenjahre von 2012 bis 2014 eingetragen werden." sqref="K16"/>
    <dataValidation type="whole" allowBlank="1" showInputMessage="1" showErrorMessage="1" errorTitle="Eingabefehler" error="Anzahl BET +  Mastektomie kann nicht größer sein als Anzahl Primärfälle." sqref="D37:K37">
      <formula1>0</formula1>
      <formula2>D69</formula2>
    </dataValidation>
    <dataValidation allowBlank="1" showInputMessage="1" showErrorMessage="1" errorTitle="Eingabefehler" error="Anzahl BET +  Mastektomie kann nicht größer sein als Anzahl Primärfälle." sqref="M38 A38:C40 D38"/>
    <dataValidation type="whole" allowBlank="1" showInputMessage="1" showErrorMessage="1" errorTitle="Eingabefehler" error="Ganze Zahl zwischen 0 und 5000 eingeben." sqref="D39:D40 H39:H40">
      <formula1>0</formula1>
      <formula2>5000</formula2>
    </dataValidation>
    <dataValidation type="textLength" allowBlank="1" showErrorMessage="1" errorTitle="Eingabefehler" error="Nur Texteingabe bis 100 Zeichen möglich." prompt="Name, Vorname" sqref="C16:E16 F12">
      <formula1>0</formula1>
      <formula2>100</formula2>
    </dataValidation>
    <dataValidation type="list" showInputMessage="1" showErrorMessage="1" errorTitle="Hinweis" error="Auswahl treffen über Dropdown-Liste." sqref="G22:L22">
      <formula1>zentrumsintern___ohne_Krebsregister</formula1>
    </dataValidation>
    <dataValidation type="whole" allowBlank="1" showInputMessage="1" showErrorMessage="1" errorTitle="Eingabefehler" error="Anzahl BET +  Mastektomie kann nicht größer sein als Anzahl Primärfälle." sqref="D35:K35 G34:K34 D34:E34">
      <formula1>0</formula1>
      <formula2>D75</formula2>
    </dataValidation>
    <dataValidation type="whole" allowBlank="1" showInputMessage="1" showErrorMessage="1" errorTitle="Eingabefehler" error="Anzahl neoadjuvant vorbehandelte Primärfälle kann nicht größer sein als Anzahl Operierte Primärfälle." sqref="D36:K36">
      <formula1>0</formula1>
      <formula2>D72</formula2>
    </dataValidation>
    <dataValidation type="whole" allowBlank="1" showInputMessage="1" showErrorMessage="1" errorTitle="Eingabefehler" error="Anzahl BET +  Mastektomie kann nicht größer sein als Anzahl Primärfälle." sqref="F34">
      <formula1>0</formula1>
      <formula2>C75</formula2>
    </dataValidation>
    <dataValidation type="whole" allowBlank="1" showInputMessage="1" showErrorMessage="1" errorTitle="Eingabefehler" error="Ganze Zahl zwischen 0 und 5000 eingeben._x000a_" sqref="J44:K44">
      <formula1>0</formula1>
      <formula2>5000</formula2>
    </dataValidation>
    <dataValidation type="whole" allowBlank="1" showInputMessage="1" showErrorMessage="1" errorTitle="Eingabefehler" error="1. Ganze Zahl zwischen 0 und 5000 eingeben._x000a_2. Kann nicht kleiner sein als operierte Primärfälle." sqref="D30:K30">
      <formula1>SUM(D34:D35)</formula1>
      <formula2>5000</formula2>
    </dataValidation>
    <dataValidation type="whole" allowBlank="1" showInputMessage="1" showErrorMessage="1" errorTitle="Eingabefehler" error="1. Ganze Zahl zwischen 0 und 5000 eingeben._x000a_2. Kann nicht größer sein als Primärfälle." sqref="D31 E31 F31 G31 H31 I31 J31 K31">
      <formula1>0</formula1>
      <formula2>D30</formula2>
    </dataValidation>
    <dataValidation type="whole" allowBlank="1" showErrorMessage="1" errorTitle="Eingabefehler" error="Die IK-Nummer muss eine 9-stellige Ziffernfolge sein, welche mit 26 beginnt." prompt="Name, Vorname" sqref="C12:E12">
      <formula1>260000000</formula1>
      <formula2>269999999</formula2>
    </dataValidation>
    <dataValidation type="whole" allowBlank="1" showErrorMessage="1" errorTitle="Eingabefehler" error="Die Standort-Nummer muss eine 9-stellige Ziffernfolge sein, welche mit 77 beginnt." prompt="Name, Vorname" sqref="C14:E14">
      <formula1>770000000</formula1>
      <formula2>779999999</formula2>
    </dataValidation>
  </dataValidations>
  <pageMargins left="0.59055118110236227" right="7.874015748031496E-2" top="0.19685039370078741" bottom="0.19685039370078741" header="0.11811023622047245" footer="0.11811023622047245"/>
  <pageSetup paperSize="9" scale="88" orientation="portrait" r:id="rId1"/>
  <headerFooter>
    <oddFooter xml:space="preserve">&amp;L&amp;"Arial,Regular"&amp;7&amp;F&amp;C&amp;"Arial,Regular"&amp;7 © DKG  Alle Rechte vorbehalten&amp;R&amp;"Arial,Regular"&amp;7&amp;P       </oddFooter>
  </headerFooter>
  <rowBreaks count="1" manualBreakCount="1">
    <brk id="46" max="11" man="1"/>
  </rowBreaks>
  <ignoredErrors>
    <ignoredError sqref="L8:L10 C8:E10 H8:J10" emptyCellReference="1"/>
  </ignoredError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F7"/>
  <sheetViews>
    <sheetView workbookViewId="0">
      <selection activeCell="E7" sqref="E7"/>
    </sheetView>
  </sheetViews>
  <sheetFormatPr baseColWidth="10" defaultColWidth="11.5703125" defaultRowHeight="15" x14ac:dyDescent="0.25"/>
  <cols>
    <col min="1" max="1" width="24" customWidth="1"/>
    <col min="2" max="2" width="38.5703125" customWidth="1"/>
    <col min="3" max="3" width="39.42578125" customWidth="1"/>
    <col min="4" max="4" width="38.28515625" customWidth="1"/>
    <col min="5" max="5" width="42.85546875" customWidth="1"/>
    <col min="6" max="6" width="43.7109375" customWidth="1"/>
    <col min="7" max="7" width="36" customWidth="1"/>
    <col min="8" max="8" width="16.5703125" customWidth="1"/>
    <col min="9" max="9" width="24.140625" customWidth="1"/>
    <col min="10" max="10" width="35" customWidth="1"/>
    <col min="11" max="11" width="28.140625" customWidth="1"/>
    <col min="12" max="12" width="27.7109375" customWidth="1"/>
    <col min="13" max="13" width="30.140625" customWidth="1"/>
    <col min="14" max="14" width="28.140625" customWidth="1"/>
    <col min="15" max="15" width="29.7109375" customWidth="1"/>
    <col min="16" max="16" width="15.28515625" customWidth="1"/>
    <col min="17" max="17" width="17.28515625" customWidth="1"/>
  </cols>
  <sheetData>
    <row r="1" spans="1:6" x14ac:dyDescent="0.25">
      <c r="A1" s="79" t="s">
        <v>706</v>
      </c>
      <c r="B1" s="73" t="str">
        <f>IF(Basisdaten!C16=0,"",Basisdaten!C16)</f>
        <v/>
      </c>
    </row>
    <row r="2" spans="1:6" x14ac:dyDescent="0.25">
      <c r="A2" s="79" t="s">
        <v>439</v>
      </c>
      <c r="B2" s="103" t="str">
        <f>IF(Basisdaten!K12=0,"",Basisdaten!K12)</f>
        <v/>
      </c>
    </row>
    <row r="3" spans="1:6" x14ac:dyDescent="0.25">
      <c r="A3" s="79" t="s">
        <v>495</v>
      </c>
      <c r="B3" s="103" t="str">
        <f>IF(Basisdaten!K14=0,"",Basisdaten!K14)</f>
        <v/>
      </c>
    </row>
    <row r="4" spans="1:6" x14ac:dyDescent="0.25">
      <c r="A4" s="79"/>
      <c r="B4" s="469"/>
    </row>
    <row r="6" spans="1:6" x14ac:dyDescent="0.25">
      <c r="A6" s="236" t="s">
        <v>305</v>
      </c>
      <c r="B6" s="236" t="s">
        <v>1190</v>
      </c>
      <c r="C6" s="236" t="s">
        <v>309</v>
      </c>
      <c r="D6" s="236" t="s">
        <v>43</v>
      </c>
      <c r="E6" s="468" t="s">
        <v>1198</v>
      </c>
      <c r="F6" s="468" t="s">
        <v>1199</v>
      </c>
    </row>
    <row r="7" spans="1:6" s="74" customFormat="1" ht="12.75" x14ac:dyDescent="0.2">
      <c r="A7" s="237" t="str">
        <f>IF(Basisdaten!A22=0,"",Basisdaten!A22)</f>
        <v/>
      </c>
      <c r="B7" s="237" t="str">
        <f>IF(Basisdaten!G22=0,"",Basisdaten!G22)</f>
        <v/>
      </c>
      <c r="C7" s="237" t="str">
        <f>IF(Basisdaten!G25=0,"",Basisdaten!G25)</f>
        <v/>
      </c>
      <c r="D7" s="237" t="str">
        <f>IF(Basisdaten!A25=0,"",Basisdaten!A25)</f>
        <v>Nein</v>
      </c>
      <c r="E7" s="237" t="str">
        <f>IF(Basisdaten!C12=0,"",Basisdaten!C12)</f>
        <v/>
      </c>
      <c r="F7" s="237" t="str">
        <f>IF(Basisdaten!C14=0,"",Basisdaten!C14)</f>
        <v/>
      </c>
    </row>
  </sheetData>
  <phoneticPr fontId="34"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17"/>
  <sheetViews>
    <sheetView zoomScaleNormal="100" workbookViewId="0">
      <selection activeCell="H19" sqref="H19"/>
    </sheetView>
  </sheetViews>
  <sheetFormatPr baseColWidth="10" defaultColWidth="11.42578125" defaultRowHeight="12.75" x14ac:dyDescent="0.25"/>
  <cols>
    <col min="1" max="1" width="35.5703125" style="77" customWidth="1"/>
    <col min="2" max="2" width="13.140625" style="77" customWidth="1"/>
    <col min="3" max="6" width="11.42578125" style="77" customWidth="1"/>
    <col min="7" max="7" width="13.42578125" style="77" customWidth="1"/>
    <col min="8" max="8" width="12.85546875" style="77" customWidth="1"/>
    <col min="9" max="9" width="11.85546875" style="77" customWidth="1"/>
    <col min="10" max="10" width="12.28515625" style="77" customWidth="1"/>
    <col min="11" max="256" width="9.140625" style="77" customWidth="1"/>
    <col min="257" max="16384" width="11.42578125" style="77"/>
  </cols>
  <sheetData>
    <row r="1" spans="1:10" ht="41.25" customHeight="1" x14ac:dyDescent="0.25">
      <c r="A1" s="72" t="str">
        <f>LEFT(Basisdaten!A27,26)</f>
        <v xml:space="preserve"> Primärfälle Mammakarzinom</v>
      </c>
      <c r="B1" s="331" t="s">
        <v>1266</v>
      </c>
      <c r="C1" s="72" t="str">
        <f>CONCATENATE(LEFT(Basisdaten!E28,2)," ",RIGHT(Basisdaten!E29,9))</f>
        <v xml:space="preserve">T1 (N0, M0) </v>
      </c>
      <c r="D1" s="72" t="str">
        <f>CONCATENATE(LEFT(Basisdaten!F28,2)," ",RIGHT(Basisdaten!F29,9))</f>
        <v>T2 (N0, M0)</v>
      </c>
      <c r="E1" s="72" t="str">
        <f>CONCATENATE(LEFT(Basisdaten!G28,2)," ",RIGHT(Basisdaten!G29,9))</f>
        <v>T3 (N0, M0)</v>
      </c>
      <c r="F1" s="72" t="str">
        <f>CONCATENATE(LEFT(Basisdaten!H28,2)," ",RIGHT(Basisdaten!H29,9))</f>
        <v>T4 (N0, M0)</v>
      </c>
      <c r="G1" s="331" t="s">
        <v>877</v>
      </c>
      <c r="H1" s="72" t="str">
        <f>CONCATENATE(LEFT(Basisdaten!J28,2)," ",LEFT(Basisdaten!J29,30))</f>
        <v>M1 (jedes N, jedes T inkl. Tis/Tx</v>
      </c>
      <c r="I1" s="72" t="str">
        <f>CONCATENATE(LEFT(Basisdaten!K28,11),RIGHT(Basisdaten!K28,6))</f>
        <v>nicht zuzu-ordnen</v>
      </c>
      <c r="J1" s="72" t="str">
        <f>LEFT(Basisdaten!L27,6)</f>
        <v>Gesamt</v>
      </c>
    </row>
    <row r="2" spans="1:10" ht="15" customHeight="1" x14ac:dyDescent="0.25">
      <c r="A2" s="78" t="str">
        <f>LEFT(Basisdaten!A30,11)</f>
        <v>Primärfälle</v>
      </c>
      <c r="B2" s="76" t="str">
        <f>IF(Basisdaten!D30="","",Basisdaten!D30)</f>
        <v/>
      </c>
      <c r="C2" s="76" t="str">
        <f>IF(Basisdaten!E30="","",Basisdaten!E30)</f>
        <v/>
      </c>
      <c r="D2" s="76" t="str">
        <f>IF(Basisdaten!F30="","",Basisdaten!F30)</f>
        <v/>
      </c>
      <c r="E2" s="76" t="str">
        <f>IF(Basisdaten!G30="","",Basisdaten!G30)</f>
        <v/>
      </c>
      <c r="F2" s="76" t="str">
        <f>IF(Basisdaten!H30="","",Basisdaten!H30)</f>
        <v/>
      </c>
      <c r="G2" s="76" t="str">
        <f>IF(Basisdaten!I30="","",Basisdaten!I30)</f>
        <v/>
      </c>
      <c r="H2" s="76" t="str">
        <f>IF(Basisdaten!J30="","",Basisdaten!J30)</f>
        <v/>
      </c>
      <c r="I2" s="76" t="str">
        <f>IF(Basisdaten!K30="","",Basisdaten!K30)</f>
        <v/>
      </c>
      <c r="J2" s="76" t="str">
        <f>IF(Basisdaten!L30="","",Basisdaten!L30)</f>
        <v/>
      </c>
    </row>
    <row r="3" spans="1:10" ht="35.25" customHeight="1" x14ac:dyDescent="0.25">
      <c r="A3" s="459" t="str">
        <f>LEFT(Basisdaten!A31,91)</f>
        <v>davon Primärfälle mit neoadjuvanter o. präoperativer systemischer Therapie mit geplanter OP</v>
      </c>
      <c r="B3" s="76" t="str">
        <f>IF(Basisdaten!D31="","",Basisdaten!D31)</f>
        <v/>
      </c>
      <c r="C3" s="76" t="str">
        <f>IF(Basisdaten!E31="","",Basisdaten!E31)</f>
        <v/>
      </c>
      <c r="D3" s="76" t="str">
        <f>IF(Basisdaten!F31="","",Basisdaten!F31)</f>
        <v/>
      </c>
      <c r="E3" s="76" t="str">
        <f>IF(Basisdaten!G31="","",Basisdaten!G31)</f>
        <v/>
      </c>
      <c r="F3" s="76" t="str">
        <f>IF(Basisdaten!H31="","",Basisdaten!H31)</f>
        <v/>
      </c>
      <c r="G3" s="76" t="str">
        <f>IF(Basisdaten!I31="","",Basisdaten!I31)</f>
        <v/>
      </c>
      <c r="H3" s="76" t="str">
        <f>IF(Basisdaten!J31="","",Basisdaten!J31)</f>
        <v/>
      </c>
      <c r="I3" s="76" t="str">
        <f>IF(Basisdaten!K31="","",Basisdaten!K31)</f>
        <v/>
      </c>
      <c r="J3" s="76" t="str">
        <f>IF(Basisdaten!L31="","",Basisdaten!L31)</f>
        <v/>
      </c>
    </row>
    <row r="4" spans="1:10" ht="15" customHeight="1" x14ac:dyDescent="0.25">
      <c r="A4" s="78" t="str">
        <f>Basisdaten!A33</f>
        <v>davon Operierte Primärfälle</v>
      </c>
      <c r="B4" s="76" t="str">
        <f>IF(Basisdaten!D33="","",Basisdaten!D33)</f>
        <v/>
      </c>
      <c r="C4" s="76" t="str">
        <f>IF(Basisdaten!E33="","",Basisdaten!E33)</f>
        <v/>
      </c>
      <c r="D4" s="76" t="str">
        <f>IF(Basisdaten!F33="","",Basisdaten!F33)</f>
        <v/>
      </c>
      <c r="E4" s="76" t="str">
        <f>IF(Basisdaten!G33="","",Basisdaten!G33)</f>
        <v/>
      </c>
      <c r="F4" s="76" t="str">
        <f>IF(Basisdaten!H33="","",Basisdaten!H33)</f>
        <v/>
      </c>
      <c r="G4" s="76" t="str">
        <f>IF(Basisdaten!I33="","",Basisdaten!I33)</f>
        <v/>
      </c>
      <c r="H4" s="76" t="str">
        <f>IF(Basisdaten!J33="","",Basisdaten!J33)</f>
        <v/>
      </c>
      <c r="I4" s="76" t="str">
        <f>IF(Basisdaten!K33="","",Basisdaten!K33)</f>
        <v/>
      </c>
      <c r="J4" s="76" t="str">
        <f>IF(Basisdaten!L33="","",Basisdaten!L33)</f>
        <v/>
      </c>
    </row>
    <row r="5" spans="1:10" x14ac:dyDescent="0.25">
      <c r="A5" s="78" t="str">
        <f>LEFT(Basisdaten!A34,10)</f>
        <v xml:space="preserve">   Mit BET</v>
      </c>
      <c r="B5" s="76" t="str">
        <f>IF(Basisdaten!D34="","",Basisdaten!D34)</f>
        <v/>
      </c>
      <c r="C5" s="76" t="str">
        <f>IF(Basisdaten!E34="","",Basisdaten!E34)</f>
        <v/>
      </c>
      <c r="D5" s="76" t="str">
        <f>IF(Basisdaten!F34="","",Basisdaten!F34)</f>
        <v/>
      </c>
      <c r="E5" s="76" t="str">
        <f>IF(Basisdaten!G34="","",Basisdaten!G34)</f>
        <v/>
      </c>
      <c r="F5" s="76" t="str">
        <f>IF(Basisdaten!H34="","",Basisdaten!H34)</f>
        <v/>
      </c>
      <c r="G5" s="76" t="str">
        <f>IF(Basisdaten!I34="","",Basisdaten!I34)</f>
        <v/>
      </c>
      <c r="H5" s="76" t="str">
        <f>IF(Basisdaten!J34="","",Basisdaten!J34)</f>
        <v/>
      </c>
      <c r="I5" s="76" t="str">
        <f>IF(Basisdaten!K34="","",Basisdaten!K34)</f>
        <v/>
      </c>
      <c r="J5" s="76" t="str">
        <f>IF(Basisdaten!L34="","",Basisdaten!L34)</f>
        <v/>
      </c>
    </row>
    <row r="6" spans="1:10" x14ac:dyDescent="0.25">
      <c r="A6" s="78" t="str">
        <f>LEFT(Basisdaten!A35,19)</f>
        <v xml:space="preserve">   Mit Mastektomien</v>
      </c>
      <c r="B6" s="76" t="str">
        <f>IF(Basisdaten!D35="","",Basisdaten!D35)</f>
        <v/>
      </c>
      <c r="C6" s="76" t="str">
        <f>IF(Basisdaten!E35="","",Basisdaten!E35)</f>
        <v/>
      </c>
      <c r="D6" s="76" t="str">
        <f>IF(Basisdaten!F35="","",Basisdaten!F35)</f>
        <v/>
      </c>
      <c r="E6" s="76" t="str">
        <f>IF(Basisdaten!G35="","",Basisdaten!G35)</f>
        <v/>
      </c>
      <c r="F6" s="76" t="str">
        <f>IF(Basisdaten!H35="","",Basisdaten!H35)</f>
        <v/>
      </c>
      <c r="G6" s="76" t="str">
        <f>IF(Basisdaten!I35="","",Basisdaten!I35)</f>
        <v/>
      </c>
      <c r="H6" s="76" t="str">
        <f>IF(Basisdaten!J35="","",Basisdaten!J35)</f>
        <v/>
      </c>
      <c r="I6" s="76" t="str">
        <f>IF(Basisdaten!K35="","",Basisdaten!K35)</f>
        <v/>
      </c>
      <c r="J6" s="76" t="str">
        <f>IF(Basisdaten!L35="","",Basisdaten!L35)</f>
        <v/>
      </c>
    </row>
    <row r="7" spans="1:10" ht="40.5" customHeight="1" x14ac:dyDescent="0.25">
      <c r="A7" s="183" t="str">
        <f>LEFT(Basisdaten!A36,86)</f>
        <v>davon operierte Primärfälle
mit neoadjuvanter oder präoperativer systemischer Therapie</v>
      </c>
      <c r="B7" s="76" t="str">
        <f>IF(Basisdaten!D36="","",Basisdaten!D36)</f>
        <v/>
      </c>
      <c r="C7" s="76" t="str">
        <f>IF(Basisdaten!E36="","",Basisdaten!E36)</f>
        <v/>
      </c>
      <c r="D7" s="76" t="str">
        <f>IF(Basisdaten!F36="","",Basisdaten!F36)</f>
        <v/>
      </c>
      <c r="E7" s="76" t="str">
        <f>IF(Basisdaten!G36="","",Basisdaten!G36)</f>
        <v/>
      </c>
      <c r="F7" s="76" t="str">
        <f>IF(Basisdaten!H36="","",Basisdaten!H36)</f>
        <v/>
      </c>
      <c r="G7" s="76" t="str">
        <f>IF(Basisdaten!I36="","",Basisdaten!I36)</f>
        <v/>
      </c>
      <c r="H7" s="76" t="str">
        <f>IF(Basisdaten!J36="","",Basisdaten!J36)</f>
        <v/>
      </c>
      <c r="I7" s="76" t="str">
        <f>IF(Basisdaten!K36="","",Basisdaten!K36)</f>
        <v/>
      </c>
      <c r="J7" s="76" t="str">
        <f>IF(Basisdaten!L36="","",Basisdaten!L36)</f>
        <v/>
      </c>
    </row>
    <row r="17" spans="7:7" x14ac:dyDescent="0.25">
      <c r="G17" s="232"/>
    </row>
  </sheetData>
  <phoneticPr fontId="34"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6"/>
  <sheetViews>
    <sheetView zoomScaleNormal="100" workbookViewId="0">
      <selection activeCell="B27" sqref="B27"/>
    </sheetView>
  </sheetViews>
  <sheetFormatPr baseColWidth="10" defaultColWidth="11.42578125" defaultRowHeight="12.75" x14ac:dyDescent="0.25"/>
  <cols>
    <col min="1" max="1" width="46.28515625" style="77" customWidth="1"/>
    <col min="2" max="2" width="20.85546875" style="77" customWidth="1"/>
    <col min="3" max="3" width="26.42578125" style="77" customWidth="1"/>
    <col min="4" max="4" width="22.42578125" style="77" customWidth="1"/>
    <col min="5" max="6" width="11.42578125" style="77" customWidth="1"/>
    <col min="7" max="7" width="15.28515625" style="77" customWidth="1"/>
    <col min="8" max="8" width="16.7109375" style="77" customWidth="1"/>
    <col min="9" max="9" width="17.7109375" style="77" customWidth="1"/>
    <col min="10" max="10" width="17.85546875" style="77" customWidth="1"/>
    <col min="11" max="256" width="9.140625" style="77" customWidth="1"/>
    <col min="257" max="16384" width="11.42578125" style="77"/>
  </cols>
  <sheetData>
    <row r="1" spans="1:10" ht="27.75" customHeight="1" x14ac:dyDescent="0.25">
      <c r="A1" s="72" t="str">
        <f>Basisdaten!A38</f>
        <v xml:space="preserve">Erkrankung </v>
      </c>
      <c r="B1" s="72" t="str">
        <f>Basisdaten!D38</f>
        <v>Patientinnen 
(Frauen)</v>
      </c>
      <c r="C1" s="72" t="str">
        <f>Basisdaten!H38</f>
        <v>Patienten 
(Männer)</v>
      </c>
      <c r="D1" s="72" t="str">
        <f>LEFT(Basisdaten!L38,18)</f>
        <v>Primärfälle gesamt</v>
      </c>
      <c r="E1" s="184"/>
      <c r="F1" s="184"/>
      <c r="G1" s="184"/>
      <c r="H1" s="184"/>
      <c r="I1" s="184"/>
      <c r="J1" s="184"/>
    </row>
    <row r="2" spans="1:10" ht="15" customHeight="1" x14ac:dyDescent="0.25">
      <c r="A2" s="183" t="str">
        <f>LEFT(Basisdaten!A39,9)</f>
        <v>einseitig</v>
      </c>
      <c r="B2" s="76" t="str">
        <f>IF(Basisdaten!D39="","",Basisdaten!D39)</f>
        <v/>
      </c>
      <c r="C2" s="76" t="str">
        <f>IF(Basisdaten!H39="","",Basisdaten!H39)</f>
        <v/>
      </c>
      <c r="D2" s="76" t="str">
        <f>IF(Basisdaten!L39="","",Basisdaten!L39)</f>
        <v/>
      </c>
      <c r="E2" s="106"/>
      <c r="F2" s="106"/>
      <c r="G2" s="106"/>
      <c r="H2" s="106"/>
      <c r="I2" s="106"/>
      <c r="J2" s="106"/>
    </row>
    <row r="3" spans="1:10" ht="15" customHeight="1" x14ac:dyDescent="0.25">
      <c r="A3" s="183" t="str">
        <f>LEFT(Basisdaten!A40,21)</f>
        <v>beidseitig (synchron)</v>
      </c>
      <c r="B3" s="76" t="str">
        <f>IF(Basisdaten!D40="","",Basisdaten!D40)</f>
        <v/>
      </c>
      <c r="C3" s="76" t="str">
        <f>IF(Basisdaten!H40="","",Basisdaten!H40)</f>
        <v/>
      </c>
      <c r="D3" s="76" t="str">
        <f>IF(Basisdaten!L40="","",Basisdaten!L40)</f>
        <v/>
      </c>
      <c r="E3" s="106"/>
      <c r="F3" s="106"/>
      <c r="G3" s="106"/>
      <c r="H3" s="106"/>
      <c r="I3" s="106"/>
      <c r="J3" s="106"/>
    </row>
    <row r="4" spans="1:10" x14ac:dyDescent="0.25">
      <c r="A4" s="232" t="s">
        <v>743</v>
      </c>
      <c r="B4" s="233"/>
      <c r="C4" s="233"/>
      <c r="D4" s="76" t="str">
        <f>IF(Basisdaten!L41="","",Basisdaten!L41)</f>
        <v/>
      </c>
      <c r="E4" s="106"/>
      <c r="F4" s="106"/>
      <c r="G4" s="106"/>
      <c r="H4" s="106"/>
      <c r="I4" s="106"/>
      <c r="J4" s="106"/>
    </row>
    <row r="5" spans="1:10" x14ac:dyDescent="0.25">
      <c r="A5" s="78" t="s">
        <v>302</v>
      </c>
      <c r="B5" s="76" t="str">
        <f>IF(Basisdaten!D42="","",Basisdaten!D42)</f>
        <v/>
      </c>
      <c r="C5" s="76" t="str">
        <f>IF(Basisdaten!H42="","",Basisdaten!H42)</f>
        <v/>
      </c>
      <c r="D5" s="233"/>
      <c r="E5" s="106"/>
      <c r="F5" s="106"/>
      <c r="G5" s="106"/>
      <c r="H5" s="106"/>
      <c r="I5" s="106"/>
      <c r="J5" s="106"/>
    </row>
    <row r="6" spans="1:10" ht="18.75" customHeight="1" x14ac:dyDescent="0.25">
      <c r="A6" s="185"/>
      <c r="B6" s="106"/>
      <c r="C6" s="106"/>
      <c r="D6" s="106"/>
      <c r="E6" s="106"/>
      <c r="F6" s="106"/>
      <c r="G6" s="106"/>
      <c r="H6" s="106"/>
      <c r="I6" s="106"/>
      <c r="J6" s="106"/>
    </row>
  </sheetData>
  <phoneticPr fontId="34"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3"/>
  <sheetViews>
    <sheetView showGridLines="0" zoomScaleNormal="100" workbookViewId="0">
      <pane ySplit="9" topLeftCell="A10" activePane="bottomLeft" state="frozen"/>
      <selection pane="bottomLeft" activeCell="A10" sqref="A10"/>
    </sheetView>
  </sheetViews>
  <sheetFormatPr baseColWidth="10" defaultColWidth="11.42578125" defaultRowHeight="15" x14ac:dyDescent="0.25"/>
  <cols>
    <col min="1" max="1" width="46.85546875" style="461" customWidth="1"/>
    <col min="2" max="2" width="50.7109375" style="461" customWidth="1"/>
    <col min="3" max="3" width="22.85546875" style="461" customWidth="1"/>
    <col min="4" max="5" width="11.42578125" style="461"/>
    <col min="6" max="8" width="11.42578125" style="461" hidden="1" customWidth="1"/>
    <col min="9" max="16384" width="11.42578125" style="461"/>
  </cols>
  <sheetData>
    <row r="1" spans="1:10" ht="8.25" customHeight="1" x14ac:dyDescent="0.25">
      <c r="A1" s="10"/>
      <c r="B1" s="10"/>
      <c r="C1" s="10"/>
      <c r="D1" s="10"/>
      <c r="E1" s="10"/>
      <c r="F1" s="10"/>
      <c r="G1" s="10"/>
      <c r="H1" s="10"/>
      <c r="I1" s="10"/>
      <c r="J1" s="10"/>
    </row>
    <row r="2" spans="1:10" x14ac:dyDescent="0.25">
      <c r="A2" s="241" t="str">
        <f>[1]Basisdaten!A2</f>
        <v>Anlage EB Version M1.1 (Auditjahr 2025 / Kennzahlenjahr 2024)</v>
      </c>
      <c r="B2" s="10"/>
      <c r="C2" s="10"/>
      <c r="D2" s="10"/>
      <c r="E2" s="10"/>
      <c r="F2" s="10"/>
      <c r="G2" s="10"/>
      <c r="H2" s="10"/>
      <c r="I2" s="10"/>
      <c r="J2" s="10"/>
    </row>
    <row r="3" spans="1:10" ht="15.75" x14ac:dyDescent="0.25">
      <c r="A3" s="462" t="s">
        <v>1202</v>
      </c>
      <c r="B3" s="10"/>
      <c r="C3" s="10"/>
      <c r="D3" s="10"/>
      <c r="E3" s="10"/>
      <c r="F3" s="10"/>
      <c r="G3" s="10"/>
      <c r="H3" s="10"/>
      <c r="I3" s="10"/>
      <c r="J3" s="10"/>
    </row>
    <row r="4" spans="1:10" ht="16.5" customHeight="1" x14ac:dyDescent="0.25">
      <c r="A4" s="456"/>
      <c r="B4" s="10"/>
      <c r="C4" s="10"/>
      <c r="D4" s="10"/>
      <c r="E4" s="10"/>
      <c r="F4" s="10"/>
      <c r="G4" s="10"/>
      <c r="H4" s="10"/>
      <c r="I4" s="10"/>
      <c r="J4" s="10"/>
    </row>
    <row r="5" spans="1:10" ht="18" customHeight="1" x14ac:dyDescent="0.25">
      <c r="A5" s="375"/>
      <c r="B5" s="465" t="s">
        <v>1207</v>
      </c>
      <c r="C5" s="463">
        <f>SUM(H10:H59)</f>
        <v>0</v>
      </c>
      <c r="D5" s="375"/>
      <c r="E5" s="375"/>
      <c r="F5" s="375"/>
      <c r="G5" s="375"/>
      <c r="H5" s="375"/>
      <c r="I5" s="375"/>
      <c r="J5" s="375"/>
    </row>
    <row r="6" spans="1:10" ht="15" customHeight="1" x14ac:dyDescent="0.25"/>
    <row r="7" spans="1:10" ht="24.95" customHeight="1" x14ac:dyDescent="0.25">
      <c r="A7" s="614" t="s">
        <v>1206</v>
      </c>
      <c r="B7" s="614"/>
      <c r="C7" s="614"/>
    </row>
    <row r="8" spans="1:10" ht="15" customHeight="1" thickBot="1" x14ac:dyDescent="0.3"/>
    <row r="9" spans="1:10" ht="38.25" customHeight="1" thickBot="1" x14ac:dyDescent="0.3">
      <c r="A9" s="470" t="s">
        <v>1203</v>
      </c>
      <c r="B9" s="471" t="s">
        <v>1204</v>
      </c>
      <c r="C9" s="472" t="s">
        <v>1205</v>
      </c>
    </row>
    <row r="10" spans="1:10" ht="26.1" customHeight="1" x14ac:dyDescent="0.25">
      <c r="A10" s="502"/>
      <c r="B10" s="503"/>
      <c r="C10" s="487"/>
      <c r="F10" s="9">
        <f>IF(A10&lt;&gt;"",1,0)</f>
        <v>0</v>
      </c>
      <c r="G10" s="9">
        <f>IF(B10&lt;&gt;"",1,0)</f>
        <v>0</v>
      </c>
      <c r="H10" s="9">
        <f>IF((SUM(F10:G10)=2),C10,0)</f>
        <v>0</v>
      </c>
    </row>
    <row r="11" spans="1:10" ht="26.1" customHeight="1" x14ac:dyDescent="0.25">
      <c r="A11" s="504"/>
      <c r="B11" s="505"/>
      <c r="C11" s="466"/>
      <c r="F11" s="9">
        <f t="shared" ref="F11:F36" si="0">IF(A11&lt;&gt;"",1,0)</f>
        <v>0</v>
      </c>
      <c r="G11" s="9">
        <f t="shared" ref="G11:G36" si="1">IF(B11&lt;&gt;"",1,0)</f>
        <v>0</v>
      </c>
      <c r="H11" s="9">
        <f t="shared" ref="H11:H36" si="2">IF((SUM(F11:G11)=2),C11,0)</f>
        <v>0</v>
      </c>
    </row>
    <row r="12" spans="1:10" ht="26.1" customHeight="1" x14ac:dyDescent="0.25">
      <c r="A12" s="504"/>
      <c r="B12" s="505"/>
      <c r="C12" s="466"/>
      <c r="F12" s="9">
        <f t="shared" si="0"/>
        <v>0</v>
      </c>
      <c r="G12" s="9">
        <f t="shared" si="1"/>
        <v>0</v>
      </c>
      <c r="H12" s="9">
        <f t="shared" si="2"/>
        <v>0</v>
      </c>
    </row>
    <row r="13" spans="1:10" ht="26.1" customHeight="1" x14ac:dyDescent="0.25">
      <c r="A13" s="504"/>
      <c r="B13" s="505"/>
      <c r="C13" s="466"/>
      <c r="F13" s="9">
        <f t="shared" si="0"/>
        <v>0</v>
      </c>
      <c r="G13" s="9">
        <f t="shared" si="1"/>
        <v>0</v>
      </c>
      <c r="H13" s="9">
        <f t="shared" si="2"/>
        <v>0</v>
      </c>
    </row>
    <row r="14" spans="1:10" ht="26.1" customHeight="1" x14ac:dyDescent="0.25">
      <c r="A14" s="504"/>
      <c r="B14" s="505"/>
      <c r="C14" s="466"/>
      <c r="F14" s="9">
        <f t="shared" si="0"/>
        <v>0</v>
      </c>
      <c r="G14" s="9">
        <f t="shared" si="1"/>
        <v>0</v>
      </c>
      <c r="H14" s="9">
        <f t="shared" si="2"/>
        <v>0</v>
      </c>
    </row>
    <row r="15" spans="1:10" ht="26.1" customHeight="1" x14ac:dyDescent="0.25">
      <c r="A15" s="504"/>
      <c r="B15" s="505"/>
      <c r="C15" s="466"/>
      <c r="F15" s="9">
        <f t="shared" si="0"/>
        <v>0</v>
      </c>
      <c r="G15" s="9">
        <f t="shared" si="1"/>
        <v>0</v>
      </c>
      <c r="H15" s="9">
        <f t="shared" si="2"/>
        <v>0</v>
      </c>
    </row>
    <row r="16" spans="1:10" ht="26.1" customHeight="1" x14ac:dyDescent="0.25">
      <c r="A16" s="504"/>
      <c r="B16" s="505"/>
      <c r="C16" s="466"/>
      <c r="F16" s="9">
        <f t="shared" si="0"/>
        <v>0</v>
      </c>
      <c r="G16" s="9">
        <f t="shared" si="1"/>
        <v>0</v>
      </c>
      <c r="H16" s="9">
        <f t="shared" si="2"/>
        <v>0</v>
      </c>
    </row>
    <row r="17" spans="1:8" ht="26.1" customHeight="1" x14ac:dyDescent="0.25">
      <c r="A17" s="504"/>
      <c r="B17" s="505"/>
      <c r="C17" s="466"/>
      <c r="F17" s="9">
        <f t="shared" si="0"/>
        <v>0</v>
      </c>
      <c r="G17" s="9">
        <f t="shared" si="1"/>
        <v>0</v>
      </c>
      <c r="H17" s="9">
        <f t="shared" si="2"/>
        <v>0</v>
      </c>
    </row>
    <row r="18" spans="1:8" ht="26.1" customHeight="1" x14ac:dyDescent="0.25">
      <c r="A18" s="504"/>
      <c r="B18" s="505"/>
      <c r="C18" s="466"/>
      <c r="F18" s="9">
        <f t="shared" si="0"/>
        <v>0</v>
      </c>
      <c r="G18" s="9">
        <f t="shared" si="1"/>
        <v>0</v>
      </c>
      <c r="H18" s="9">
        <f t="shared" si="2"/>
        <v>0</v>
      </c>
    </row>
    <row r="19" spans="1:8" ht="26.1" customHeight="1" x14ac:dyDescent="0.25">
      <c r="A19" s="504"/>
      <c r="B19" s="505"/>
      <c r="C19" s="466"/>
      <c r="F19" s="9">
        <f t="shared" si="0"/>
        <v>0</v>
      </c>
      <c r="G19" s="9">
        <f t="shared" si="1"/>
        <v>0</v>
      </c>
      <c r="H19" s="9">
        <f t="shared" si="2"/>
        <v>0</v>
      </c>
    </row>
    <row r="20" spans="1:8" ht="26.1" customHeight="1" x14ac:dyDescent="0.25">
      <c r="A20" s="504"/>
      <c r="B20" s="505"/>
      <c r="C20" s="466"/>
      <c r="F20" s="9">
        <f t="shared" si="0"/>
        <v>0</v>
      </c>
      <c r="G20" s="9">
        <f t="shared" si="1"/>
        <v>0</v>
      </c>
      <c r="H20" s="9">
        <f t="shared" si="2"/>
        <v>0</v>
      </c>
    </row>
    <row r="21" spans="1:8" ht="26.1" customHeight="1" x14ac:dyDescent="0.25">
      <c r="A21" s="504"/>
      <c r="B21" s="505"/>
      <c r="C21" s="466"/>
      <c r="F21" s="9">
        <f t="shared" si="0"/>
        <v>0</v>
      </c>
      <c r="G21" s="9">
        <f t="shared" si="1"/>
        <v>0</v>
      </c>
      <c r="H21" s="9">
        <f t="shared" si="2"/>
        <v>0</v>
      </c>
    </row>
    <row r="22" spans="1:8" ht="26.1" customHeight="1" x14ac:dyDescent="0.25">
      <c r="A22" s="504"/>
      <c r="B22" s="505"/>
      <c r="C22" s="466"/>
      <c r="F22" s="9">
        <f t="shared" si="0"/>
        <v>0</v>
      </c>
      <c r="G22" s="9">
        <f t="shared" si="1"/>
        <v>0</v>
      </c>
      <c r="H22" s="9">
        <f t="shared" si="2"/>
        <v>0</v>
      </c>
    </row>
    <row r="23" spans="1:8" ht="26.1" customHeight="1" x14ac:dyDescent="0.25">
      <c r="A23" s="504"/>
      <c r="B23" s="505"/>
      <c r="C23" s="466"/>
      <c r="F23" s="9">
        <f t="shared" si="0"/>
        <v>0</v>
      </c>
      <c r="G23" s="9">
        <f t="shared" si="1"/>
        <v>0</v>
      </c>
      <c r="H23" s="9">
        <f t="shared" si="2"/>
        <v>0</v>
      </c>
    </row>
    <row r="24" spans="1:8" ht="26.1" customHeight="1" x14ac:dyDescent="0.25">
      <c r="A24" s="504"/>
      <c r="B24" s="505"/>
      <c r="C24" s="466"/>
      <c r="F24" s="9">
        <f t="shared" si="0"/>
        <v>0</v>
      </c>
      <c r="G24" s="9">
        <f t="shared" si="1"/>
        <v>0</v>
      </c>
      <c r="H24" s="9">
        <f t="shared" si="2"/>
        <v>0</v>
      </c>
    </row>
    <row r="25" spans="1:8" ht="26.1" customHeight="1" x14ac:dyDescent="0.25">
      <c r="A25" s="504"/>
      <c r="B25" s="505"/>
      <c r="C25" s="466"/>
      <c r="F25" s="9">
        <f t="shared" si="0"/>
        <v>0</v>
      </c>
      <c r="G25" s="9">
        <f t="shared" si="1"/>
        <v>0</v>
      </c>
      <c r="H25" s="9">
        <f t="shared" si="2"/>
        <v>0</v>
      </c>
    </row>
    <row r="26" spans="1:8" ht="26.1" customHeight="1" x14ac:dyDescent="0.25">
      <c r="A26" s="504"/>
      <c r="B26" s="505"/>
      <c r="C26" s="466"/>
      <c r="F26" s="9">
        <f t="shared" si="0"/>
        <v>0</v>
      </c>
      <c r="G26" s="9">
        <f t="shared" si="1"/>
        <v>0</v>
      </c>
      <c r="H26" s="9">
        <f t="shared" si="2"/>
        <v>0</v>
      </c>
    </row>
    <row r="27" spans="1:8" ht="26.1" customHeight="1" x14ac:dyDescent="0.25">
      <c r="A27" s="504"/>
      <c r="B27" s="505"/>
      <c r="C27" s="466"/>
      <c r="F27" s="9">
        <f t="shared" si="0"/>
        <v>0</v>
      </c>
      <c r="G27" s="9">
        <f t="shared" si="1"/>
        <v>0</v>
      </c>
      <c r="H27" s="9">
        <f t="shared" si="2"/>
        <v>0</v>
      </c>
    </row>
    <row r="28" spans="1:8" ht="26.1" customHeight="1" x14ac:dyDescent="0.25">
      <c r="A28" s="504"/>
      <c r="B28" s="505"/>
      <c r="C28" s="466"/>
      <c r="F28" s="9">
        <f t="shared" si="0"/>
        <v>0</v>
      </c>
      <c r="G28" s="9">
        <f t="shared" si="1"/>
        <v>0</v>
      </c>
      <c r="H28" s="9">
        <f t="shared" si="2"/>
        <v>0</v>
      </c>
    </row>
    <row r="29" spans="1:8" ht="26.1" customHeight="1" x14ac:dyDescent="0.25">
      <c r="A29" s="504"/>
      <c r="B29" s="505"/>
      <c r="C29" s="466"/>
      <c r="F29" s="9">
        <f t="shared" si="0"/>
        <v>0</v>
      </c>
      <c r="G29" s="9">
        <f t="shared" si="1"/>
        <v>0</v>
      </c>
      <c r="H29" s="9">
        <f t="shared" si="2"/>
        <v>0</v>
      </c>
    </row>
    <row r="30" spans="1:8" ht="26.1" customHeight="1" x14ac:dyDescent="0.25">
      <c r="A30" s="504"/>
      <c r="B30" s="505"/>
      <c r="C30" s="466"/>
      <c r="F30" s="9">
        <f t="shared" si="0"/>
        <v>0</v>
      </c>
      <c r="G30" s="9">
        <f t="shared" si="1"/>
        <v>0</v>
      </c>
      <c r="H30" s="9">
        <f t="shared" si="2"/>
        <v>0</v>
      </c>
    </row>
    <row r="31" spans="1:8" ht="26.1" customHeight="1" x14ac:dyDescent="0.25">
      <c r="A31" s="504"/>
      <c r="B31" s="505"/>
      <c r="C31" s="466"/>
      <c r="F31" s="9">
        <f t="shared" si="0"/>
        <v>0</v>
      </c>
      <c r="G31" s="9">
        <f t="shared" si="1"/>
        <v>0</v>
      </c>
      <c r="H31" s="9">
        <f t="shared" si="2"/>
        <v>0</v>
      </c>
    </row>
    <row r="32" spans="1:8" ht="26.1" customHeight="1" x14ac:dyDescent="0.25">
      <c r="A32" s="504"/>
      <c r="B32" s="505"/>
      <c r="C32" s="466"/>
      <c r="F32" s="9">
        <f t="shared" si="0"/>
        <v>0</v>
      </c>
      <c r="G32" s="9">
        <f t="shared" si="1"/>
        <v>0</v>
      </c>
      <c r="H32" s="9">
        <f t="shared" si="2"/>
        <v>0</v>
      </c>
    </row>
    <row r="33" spans="1:8" ht="26.1" customHeight="1" x14ac:dyDescent="0.25">
      <c r="A33" s="504"/>
      <c r="B33" s="505"/>
      <c r="C33" s="466"/>
      <c r="F33" s="9">
        <f t="shared" si="0"/>
        <v>0</v>
      </c>
      <c r="G33" s="9">
        <f t="shared" si="1"/>
        <v>0</v>
      </c>
      <c r="H33" s="9">
        <f t="shared" si="2"/>
        <v>0</v>
      </c>
    </row>
    <row r="34" spans="1:8" ht="26.1" customHeight="1" x14ac:dyDescent="0.25">
      <c r="A34" s="504"/>
      <c r="B34" s="505"/>
      <c r="C34" s="466"/>
      <c r="F34" s="9">
        <f t="shared" si="0"/>
        <v>0</v>
      </c>
      <c r="G34" s="9">
        <f t="shared" si="1"/>
        <v>0</v>
      </c>
      <c r="H34" s="9">
        <f t="shared" si="2"/>
        <v>0</v>
      </c>
    </row>
    <row r="35" spans="1:8" ht="26.1" customHeight="1" x14ac:dyDescent="0.25">
      <c r="A35" s="504"/>
      <c r="B35" s="505"/>
      <c r="C35" s="466"/>
      <c r="F35" s="9">
        <f t="shared" si="0"/>
        <v>0</v>
      </c>
      <c r="G35" s="9">
        <f t="shared" si="1"/>
        <v>0</v>
      </c>
      <c r="H35" s="9">
        <f t="shared" si="2"/>
        <v>0</v>
      </c>
    </row>
    <row r="36" spans="1:8" ht="26.1" customHeight="1" x14ac:dyDescent="0.25">
      <c r="A36" s="504"/>
      <c r="B36" s="505"/>
      <c r="C36" s="466"/>
      <c r="F36" s="9">
        <f t="shared" si="0"/>
        <v>0</v>
      </c>
      <c r="G36" s="9">
        <f t="shared" si="1"/>
        <v>0</v>
      </c>
      <c r="H36" s="9">
        <f t="shared" si="2"/>
        <v>0</v>
      </c>
    </row>
    <row r="37" spans="1:8" ht="26.1" customHeight="1" x14ac:dyDescent="0.25">
      <c r="A37" s="504"/>
      <c r="B37" s="505"/>
      <c r="C37" s="466"/>
      <c r="F37" s="9">
        <f>IF(A37&lt;&gt;"",1,0)</f>
        <v>0</v>
      </c>
      <c r="G37" s="9">
        <f>IF(B37&lt;&gt;"",1,0)</f>
        <v>0</v>
      </c>
      <c r="H37" s="9">
        <f>IF((SUM(F37:G37)=2),C37,0)</f>
        <v>0</v>
      </c>
    </row>
    <row r="38" spans="1:8" ht="26.1" customHeight="1" x14ac:dyDescent="0.25">
      <c r="A38" s="504"/>
      <c r="B38" s="505"/>
      <c r="C38" s="466"/>
      <c r="F38" s="9">
        <f t="shared" ref="F38:F59" si="3">IF(A38&lt;&gt;"",1,0)</f>
        <v>0</v>
      </c>
      <c r="G38" s="9">
        <f t="shared" ref="G38:G59" si="4">IF(B38&lt;&gt;"",1,0)</f>
        <v>0</v>
      </c>
      <c r="H38" s="9">
        <f t="shared" ref="H38:H59" si="5">IF((SUM(F38:G38)=2),C38,0)</f>
        <v>0</v>
      </c>
    </row>
    <row r="39" spans="1:8" ht="26.1" customHeight="1" x14ac:dyDescent="0.25">
      <c r="A39" s="504"/>
      <c r="B39" s="505"/>
      <c r="C39" s="466"/>
      <c r="F39" s="9">
        <f t="shared" si="3"/>
        <v>0</v>
      </c>
      <c r="G39" s="9">
        <f t="shared" si="4"/>
        <v>0</v>
      </c>
      <c r="H39" s="9">
        <f t="shared" si="5"/>
        <v>0</v>
      </c>
    </row>
    <row r="40" spans="1:8" ht="26.1" customHeight="1" x14ac:dyDescent="0.25">
      <c r="A40" s="504"/>
      <c r="B40" s="505"/>
      <c r="C40" s="466"/>
      <c r="F40" s="9">
        <f t="shared" si="3"/>
        <v>0</v>
      </c>
      <c r="G40" s="9">
        <f t="shared" si="4"/>
        <v>0</v>
      </c>
      <c r="H40" s="9">
        <f t="shared" si="5"/>
        <v>0</v>
      </c>
    </row>
    <row r="41" spans="1:8" ht="26.1" customHeight="1" x14ac:dyDescent="0.25">
      <c r="A41" s="504"/>
      <c r="B41" s="505"/>
      <c r="C41" s="466"/>
      <c r="F41" s="9">
        <f t="shared" si="3"/>
        <v>0</v>
      </c>
      <c r="G41" s="9">
        <f t="shared" si="4"/>
        <v>0</v>
      </c>
      <c r="H41" s="9">
        <f t="shared" si="5"/>
        <v>0</v>
      </c>
    </row>
    <row r="42" spans="1:8" ht="26.1" customHeight="1" x14ac:dyDescent="0.25">
      <c r="A42" s="504"/>
      <c r="B42" s="505"/>
      <c r="C42" s="466"/>
      <c r="F42" s="9">
        <f t="shared" si="3"/>
        <v>0</v>
      </c>
      <c r="G42" s="9">
        <f t="shared" si="4"/>
        <v>0</v>
      </c>
      <c r="H42" s="9">
        <f t="shared" si="5"/>
        <v>0</v>
      </c>
    </row>
    <row r="43" spans="1:8" ht="26.1" customHeight="1" x14ac:dyDescent="0.25">
      <c r="A43" s="504"/>
      <c r="B43" s="505"/>
      <c r="C43" s="466"/>
      <c r="F43" s="9">
        <f t="shared" si="3"/>
        <v>0</v>
      </c>
      <c r="G43" s="9">
        <f t="shared" si="4"/>
        <v>0</v>
      </c>
      <c r="H43" s="9">
        <f t="shared" si="5"/>
        <v>0</v>
      </c>
    </row>
    <row r="44" spans="1:8" ht="26.1" customHeight="1" x14ac:dyDescent="0.25">
      <c r="A44" s="504"/>
      <c r="B44" s="505"/>
      <c r="C44" s="466"/>
      <c r="F44" s="9">
        <f t="shared" si="3"/>
        <v>0</v>
      </c>
      <c r="G44" s="9">
        <f t="shared" si="4"/>
        <v>0</v>
      </c>
      <c r="H44" s="9">
        <f t="shared" si="5"/>
        <v>0</v>
      </c>
    </row>
    <row r="45" spans="1:8" ht="26.1" customHeight="1" x14ac:dyDescent="0.25">
      <c r="A45" s="504"/>
      <c r="B45" s="505"/>
      <c r="C45" s="466"/>
      <c r="F45" s="9">
        <f t="shared" si="3"/>
        <v>0</v>
      </c>
      <c r="G45" s="9">
        <f t="shared" si="4"/>
        <v>0</v>
      </c>
      <c r="H45" s="9">
        <f t="shared" si="5"/>
        <v>0</v>
      </c>
    </row>
    <row r="46" spans="1:8" ht="26.1" customHeight="1" x14ac:dyDescent="0.25">
      <c r="A46" s="504"/>
      <c r="B46" s="505"/>
      <c r="C46" s="466"/>
      <c r="F46" s="9">
        <f t="shared" si="3"/>
        <v>0</v>
      </c>
      <c r="G46" s="9">
        <f t="shared" si="4"/>
        <v>0</v>
      </c>
      <c r="H46" s="9">
        <f t="shared" si="5"/>
        <v>0</v>
      </c>
    </row>
    <row r="47" spans="1:8" ht="26.1" customHeight="1" x14ac:dyDescent="0.25">
      <c r="A47" s="504"/>
      <c r="B47" s="505"/>
      <c r="C47" s="466"/>
      <c r="F47" s="9">
        <f t="shared" si="3"/>
        <v>0</v>
      </c>
      <c r="G47" s="9">
        <f t="shared" si="4"/>
        <v>0</v>
      </c>
      <c r="H47" s="9">
        <f t="shared" si="5"/>
        <v>0</v>
      </c>
    </row>
    <row r="48" spans="1:8" ht="26.1" customHeight="1" x14ac:dyDescent="0.25">
      <c r="A48" s="504"/>
      <c r="B48" s="505"/>
      <c r="C48" s="466"/>
      <c r="F48" s="9">
        <f t="shared" si="3"/>
        <v>0</v>
      </c>
      <c r="G48" s="9">
        <f t="shared" si="4"/>
        <v>0</v>
      </c>
      <c r="H48" s="9">
        <f t="shared" si="5"/>
        <v>0</v>
      </c>
    </row>
    <row r="49" spans="1:8" ht="26.1" customHeight="1" x14ac:dyDescent="0.25">
      <c r="A49" s="504"/>
      <c r="B49" s="505"/>
      <c r="C49" s="466"/>
      <c r="F49" s="9">
        <f t="shared" si="3"/>
        <v>0</v>
      </c>
      <c r="G49" s="9">
        <f t="shared" si="4"/>
        <v>0</v>
      </c>
      <c r="H49" s="9">
        <f t="shared" si="5"/>
        <v>0</v>
      </c>
    </row>
    <row r="50" spans="1:8" ht="26.1" customHeight="1" x14ac:dyDescent="0.25">
      <c r="A50" s="504"/>
      <c r="B50" s="505"/>
      <c r="C50" s="466"/>
      <c r="F50" s="9">
        <f t="shared" si="3"/>
        <v>0</v>
      </c>
      <c r="G50" s="9">
        <f t="shared" si="4"/>
        <v>0</v>
      </c>
      <c r="H50" s="9">
        <f t="shared" si="5"/>
        <v>0</v>
      </c>
    </row>
    <row r="51" spans="1:8" ht="26.1" customHeight="1" x14ac:dyDescent="0.25">
      <c r="A51" s="504"/>
      <c r="B51" s="505"/>
      <c r="C51" s="466"/>
      <c r="F51" s="9">
        <f t="shared" si="3"/>
        <v>0</v>
      </c>
      <c r="G51" s="9">
        <f t="shared" si="4"/>
        <v>0</v>
      </c>
      <c r="H51" s="9">
        <f t="shared" si="5"/>
        <v>0</v>
      </c>
    </row>
    <row r="52" spans="1:8" ht="26.1" customHeight="1" x14ac:dyDescent="0.25">
      <c r="A52" s="504"/>
      <c r="B52" s="505"/>
      <c r="C52" s="466"/>
      <c r="F52" s="9">
        <f t="shared" si="3"/>
        <v>0</v>
      </c>
      <c r="G52" s="9">
        <f t="shared" si="4"/>
        <v>0</v>
      </c>
      <c r="H52" s="9">
        <f t="shared" si="5"/>
        <v>0</v>
      </c>
    </row>
    <row r="53" spans="1:8" ht="26.1" customHeight="1" x14ac:dyDescent="0.25">
      <c r="A53" s="504"/>
      <c r="B53" s="505"/>
      <c r="C53" s="466"/>
      <c r="F53" s="9">
        <f t="shared" si="3"/>
        <v>0</v>
      </c>
      <c r="G53" s="9">
        <f t="shared" si="4"/>
        <v>0</v>
      </c>
      <c r="H53" s="9">
        <f t="shared" si="5"/>
        <v>0</v>
      </c>
    </row>
    <row r="54" spans="1:8" ht="26.1" customHeight="1" x14ac:dyDescent="0.25">
      <c r="A54" s="504"/>
      <c r="B54" s="505"/>
      <c r="C54" s="466"/>
      <c r="F54" s="9">
        <f t="shared" si="3"/>
        <v>0</v>
      </c>
      <c r="G54" s="9">
        <f t="shared" si="4"/>
        <v>0</v>
      </c>
      <c r="H54" s="9">
        <f t="shared" si="5"/>
        <v>0</v>
      </c>
    </row>
    <row r="55" spans="1:8" ht="26.1" customHeight="1" x14ac:dyDescent="0.25">
      <c r="A55" s="504"/>
      <c r="B55" s="505"/>
      <c r="C55" s="466"/>
      <c r="F55" s="9">
        <f t="shared" si="3"/>
        <v>0</v>
      </c>
      <c r="G55" s="9">
        <f t="shared" si="4"/>
        <v>0</v>
      </c>
      <c r="H55" s="9">
        <f t="shared" si="5"/>
        <v>0</v>
      </c>
    </row>
    <row r="56" spans="1:8" ht="26.1" customHeight="1" x14ac:dyDescent="0.25">
      <c r="A56" s="504"/>
      <c r="B56" s="505"/>
      <c r="C56" s="466"/>
      <c r="F56" s="9">
        <f t="shared" si="3"/>
        <v>0</v>
      </c>
      <c r="G56" s="9">
        <f t="shared" si="4"/>
        <v>0</v>
      </c>
      <c r="H56" s="9">
        <f t="shared" si="5"/>
        <v>0</v>
      </c>
    </row>
    <row r="57" spans="1:8" ht="26.1" customHeight="1" x14ac:dyDescent="0.25">
      <c r="A57" s="504"/>
      <c r="B57" s="505"/>
      <c r="C57" s="466"/>
      <c r="F57" s="9">
        <f t="shared" si="3"/>
        <v>0</v>
      </c>
      <c r="G57" s="9">
        <f t="shared" si="4"/>
        <v>0</v>
      </c>
      <c r="H57" s="9">
        <f t="shared" si="5"/>
        <v>0</v>
      </c>
    </row>
    <row r="58" spans="1:8" ht="26.1" customHeight="1" x14ac:dyDescent="0.25">
      <c r="A58" s="504"/>
      <c r="B58" s="505"/>
      <c r="C58" s="466"/>
      <c r="F58" s="9">
        <f t="shared" si="3"/>
        <v>0</v>
      </c>
      <c r="G58" s="9">
        <f t="shared" si="4"/>
        <v>0</v>
      </c>
      <c r="H58" s="9">
        <f t="shared" si="5"/>
        <v>0</v>
      </c>
    </row>
    <row r="59" spans="1:8" ht="26.1" customHeight="1" thickBot="1" x14ac:dyDescent="0.3">
      <c r="A59" s="506"/>
      <c r="B59" s="507"/>
      <c r="C59" s="467"/>
      <c r="F59" s="9">
        <f t="shared" si="3"/>
        <v>0</v>
      </c>
      <c r="G59" s="9">
        <f t="shared" si="4"/>
        <v>0</v>
      </c>
      <c r="H59" s="9">
        <f t="shared" si="5"/>
        <v>0</v>
      </c>
    </row>
    <row r="60" spans="1:8" ht="7.5" customHeight="1" x14ac:dyDescent="0.25"/>
    <row r="61" spans="1:8" ht="6.75" customHeight="1" x14ac:dyDescent="0.25"/>
    <row r="62" spans="1:8" ht="15.75" customHeight="1" x14ac:dyDescent="0.25">
      <c r="A62" s="613"/>
      <c r="B62" s="613"/>
      <c r="C62" s="613"/>
    </row>
    <row r="63" spans="1:8" x14ac:dyDescent="0.25">
      <c r="A63" s="464"/>
    </row>
  </sheetData>
  <sheetProtection algorithmName="SHA-512" hashValue="hkFajeXme2tG3203y8Y49YMcLZoMW7ZxK0m56dWzvFgqVYQFmcgt13ccqZfZEnLmxW4eJJnH1eaaNZl/FHwa4A==" saltValue="TMEnC2Thao4JXtBmkIw6SQ==" spinCount="100000" sheet="1" objects="1" scenarios="1" selectLockedCells="1"/>
  <mergeCells count="2">
    <mergeCell ref="A62:C62"/>
    <mergeCell ref="A7:C7"/>
  </mergeCells>
  <phoneticPr fontId="155" type="noConversion"/>
  <conditionalFormatting sqref="A10:B59">
    <cfRule type="expression" dxfId="155" priority="3" stopIfTrue="1">
      <formula>LEN(TRIM(A10))=0</formula>
    </cfRule>
  </conditionalFormatting>
  <conditionalFormatting sqref="C10:C59">
    <cfRule type="expression" dxfId="154" priority="1">
      <formula>LEN(TRIM(C10))=0</formula>
    </cfRule>
  </conditionalFormatting>
  <dataValidations count="2">
    <dataValidation type="whole" allowBlank="1" showInputMessage="1" showErrorMessage="1" errorTitle="Eingabefehler" error="Ganze Zahl zwischen 0 und 5000 eingeben." sqref="C10:C59">
      <formula1>0</formula1>
      <formula2>5000</formula2>
    </dataValidation>
    <dataValidation type="textLength" showInputMessage="1" showErrorMessage="1" errorTitle="Zeichenlänge" error="Nur Texteingabe bis 200 Zeichen möglich." sqref="A10:B59">
      <formula1>2</formula1>
      <formula2>200</formula2>
    </dataValidation>
  </dataValidations>
  <pageMargins left="0.7" right="0.7" top="0.78740157499999996" bottom="0.78740157499999996" header="0.3" footer="0.3"/>
  <pageSetup scale="76" fitToHeight="0" orientation="portrait" horizontalDpi="4294967295" verticalDpi="4294967295" r:id="rId1"/>
  <headerFooter>
    <oddFooter xml:space="preserve">&amp;L&amp;"Arial,Regular"&amp;7&amp;F&amp;C&amp;"Arial,Regular"&amp;7 © DKG  Alle Rechte vorbehalten&amp;R&amp;"Arial,Regular"&amp;7&amp;P       </oddFooter>
  </headerFooter>
  <rowBreaks count="1" manualBreakCount="1">
    <brk id="35" max="2"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B4" sqref="B4"/>
    </sheetView>
  </sheetViews>
  <sheetFormatPr baseColWidth="10" defaultColWidth="9.140625" defaultRowHeight="12.75" x14ac:dyDescent="0.2"/>
  <cols>
    <col min="1" max="1" width="35.42578125" style="494" customWidth="1"/>
    <col min="2" max="2" width="21.28515625" style="494" customWidth="1"/>
    <col min="3" max="3" width="22.42578125" style="494" customWidth="1"/>
    <col min="4" max="4" width="29.85546875" style="494" customWidth="1"/>
    <col min="5" max="5" width="28.28515625" style="494" customWidth="1"/>
    <col min="6" max="6" width="12.140625" style="494" customWidth="1"/>
    <col min="7" max="7" width="12.42578125" style="494" customWidth="1"/>
    <col min="8" max="8" width="12.5703125" style="494" customWidth="1"/>
    <col min="9" max="9" width="9.7109375" style="494" customWidth="1"/>
    <col min="10" max="10" width="9.5703125" style="494" customWidth="1"/>
    <col min="11" max="11" width="9.140625" style="494"/>
    <col min="12" max="12" width="15.28515625" style="514" customWidth="1"/>
    <col min="13" max="13" width="17.42578125" style="494" customWidth="1"/>
    <col min="14" max="16384" width="9.140625" style="494"/>
  </cols>
  <sheetData>
    <row r="1" spans="1:13" ht="63.75" customHeight="1" x14ac:dyDescent="0.2">
      <c r="A1" s="501" t="s">
        <v>1254</v>
      </c>
      <c r="B1" s="501" t="s">
        <v>1204</v>
      </c>
      <c r="C1" s="500" t="s">
        <v>1255</v>
      </c>
      <c r="D1" s="500" t="s">
        <v>1256</v>
      </c>
      <c r="E1" s="500" t="s">
        <v>1257</v>
      </c>
      <c r="F1" s="500" t="s">
        <v>1258</v>
      </c>
      <c r="G1" s="500" t="s">
        <v>1259</v>
      </c>
      <c r="H1" s="500" t="s">
        <v>1260</v>
      </c>
      <c r="I1" s="500" t="s">
        <v>1265</v>
      </c>
      <c r="J1" s="500" t="s">
        <v>1261</v>
      </c>
      <c r="K1" s="500" t="s">
        <v>1262</v>
      </c>
      <c r="L1" s="513" t="s">
        <v>1264</v>
      </c>
      <c r="M1" s="500" t="s">
        <v>1263</v>
      </c>
    </row>
    <row r="2" spans="1:13" x14ac:dyDescent="0.2">
      <c r="A2" s="495" t="str">
        <f>IF(AND(SUM(Studien!F10:G10)=2,Studien!H10&lt;&gt;0),Studien!A10,"")</f>
        <v/>
      </c>
      <c r="B2" s="495" t="str">
        <f>IF(AND(SUM(Studien!F10:G10)=2,Studien!H10&lt;&gt;0),Studien!B10,"")</f>
        <v/>
      </c>
      <c r="C2" s="496"/>
      <c r="D2" s="497"/>
      <c r="E2" s="498"/>
      <c r="F2" s="499"/>
      <c r="G2" s="499"/>
      <c r="H2" s="499"/>
      <c r="I2" s="499"/>
      <c r="J2" s="499"/>
      <c r="K2" s="499"/>
      <c r="L2" s="512" t="str">
        <f>IF(AND(SUM(Studien!F10:G10)=2,Studien!H10&lt;&gt;0),Studien!C10,"")</f>
        <v/>
      </c>
      <c r="M2" s="499"/>
    </row>
    <row r="3" spans="1:13" x14ac:dyDescent="0.2">
      <c r="A3" s="495" t="str">
        <f>IF(AND(SUM(Studien!F11:G11)=2,Studien!H11&lt;&gt;0),Studien!A11,"")</f>
        <v/>
      </c>
      <c r="B3" s="495" t="str">
        <f>IF(AND(SUM(Studien!F11:G11)=2,Studien!H11&lt;&gt;0),Studien!B11,"")</f>
        <v/>
      </c>
      <c r="C3" s="496"/>
      <c r="D3" s="497"/>
      <c r="E3" s="497"/>
      <c r="F3" s="499"/>
      <c r="G3" s="499"/>
      <c r="H3" s="499"/>
      <c r="I3" s="499"/>
      <c r="J3" s="499"/>
      <c r="K3" s="499"/>
      <c r="L3" s="512" t="str">
        <f>IF(AND(SUM(Studien!F11:G11)=2,Studien!H11&lt;&gt;0),Studien!C11,"")</f>
        <v/>
      </c>
      <c r="M3" s="499"/>
    </row>
    <row r="4" spans="1:13" x14ac:dyDescent="0.2">
      <c r="A4" s="495" t="str">
        <f>IF(AND(SUM(Studien!F12:G12)=2,Studien!H12&lt;&gt;0),Studien!A12,"")</f>
        <v/>
      </c>
      <c r="B4" s="495" t="str">
        <f>IF(AND(SUM(Studien!F12:G12)=2,Studien!H12&lt;&gt;0),Studien!B12,"")</f>
        <v/>
      </c>
      <c r="C4" s="496"/>
      <c r="D4" s="497"/>
      <c r="E4" s="497"/>
      <c r="F4" s="499"/>
      <c r="G4" s="499"/>
      <c r="H4" s="499"/>
      <c r="I4" s="499"/>
      <c r="J4" s="499"/>
      <c r="K4" s="499"/>
      <c r="L4" s="512" t="str">
        <f>IF(AND(SUM(Studien!F12:G12)=2,Studien!H12&lt;&gt;0),Studien!C12,"")</f>
        <v/>
      </c>
      <c r="M4" s="499"/>
    </row>
    <row r="5" spans="1:13" x14ac:dyDescent="0.2">
      <c r="A5" s="495" t="str">
        <f>IF(AND(SUM(Studien!F13:G13)=2,Studien!H13&lt;&gt;0),Studien!A13,"")</f>
        <v/>
      </c>
      <c r="B5" s="495" t="str">
        <f>IF(AND(SUM(Studien!F13:G13)=2,Studien!H13&lt;&gt;0),Studien!B13,"")</f>
        <v/>
      </c>
      <c r="C5" s="496"/>
      <c r="D5" s="497"/>
      <c r="E5" s="497"/>
      <c r="F5" s="499"/>
      <c r="G5" s="499"/>
      <c r="H5" s="499"/>
      <c r="I5" s="499"/>
      <c r="J5" s="499"/>
      <c r="K5" s="499"/>
      <c r="L5" s="512" t="str">
        <f>IF(AND(SUM(Studien!F13:G13)=2,Studien!H13&lt;&gt;0),Studien!C13,"")</f>
        <v/>
      </c>
      <c r="M5" s="499"/>
    </row>
    <row r="6" spans="1:13" x14ac:dyDescent="0.2">
      <c r="A6" s="495" t="str">
        <f>IF(AND(SUM(Studien!F14:G14)=2,Studien!H14&lt;&gt;0),Studien!A14,"")</f>
        <v/>
      </c>
      <c r="B6" s="495" t="str">
        <f>IF(AND(SUM(Studien!F14:G14)=2,Studien!H14&lt;&gt;0),Studien!B14,"")</f>
        <v/>
      </c>
      <c r="C6" s="496"/>
      <c r="D6" s="497"/>
      <c r="E6" s="497"/>
      <c r="F6" s="499"/>
      <c r="G6" s="499"/>
      <c r="H6" s="499"/>
      <c r="I6" s="499"/>
      <c r="J6" s="499"/>
      <c r="K6" s="499"/>
      <c r="L6" s="512" t="str">
        <f>IF(AND(SUM(Studien!F14:G14)=2,Studien!H14&lt;&gt;0),Studien!C14,"")</f>
        <v/>
      </c>
      <c r="M6" s="499"/>
    </row>
    <row r="7" spans="1:13" x14ac:dyDescent="0.2">
      <c r="A7" s="495" t="str">
        <f>IF(AND(SUM(Studien!F15:G15)=2,Studien!H15&lt;&gt;0),Studien!A15,"")</f>
        <v/>
      </c>
      <c r="B7" s="495" t="str">
        <f>IF(AND(SUM(Studien!F15:G15)=2,Studien!H15&lt;&gt;0),Studien!B15,"")</f>
        <v/>
      </c>
      <c r="C7" s="496"/>
      <c r="D7" s="497"/>
      <c r="E7" s="497"/>
      <c r="F7" s="499"/>
      <c r="G7" s="499"/>
      <c r="H7" s="499"/>
      <c r="I7" s="499"/>
      <c r="J7" s="499"/>
      <c r="K7" s="499"/>
      <c r="L7" s="512" t="str">
        <f>IF(AND(SUM(Studien!F15:G15)=2,Studien!H15&lt;&gt;0),Studien!C15,"")</f>
        <v/>
      </c>
      <c r="M7" s="499"/>
    </row>
    <row r="8" spans="1:13" x14ac:dyDescent="0.2">
      <c r="A8" s="495" t="str">
        <f>IF(AND(SUM(Studien!F16:G16)=2,Studien!H16&lt;&gt;0),Studien!A16,"")</f>
        <v/>
      </c>
      <c r="B8" s="495" t="str">
        <f>IF(AND(SUM(Studien!F16:G16)=2,Studien!H16&lt;&gt;0),Studien!B16,"")</f>
        <v/>
      </c>
      <c r="C8" s="496"/>
      <c r="D8" s="497"/>
      <c r="E8" s="497"/>
      <c r="F8" s="499"/>
      <c r="G8" s="499"/>
      <c r="H8" s="499"/>
      <c r="I8" s="499"/>
      <c r="J8" s="499"/>
      <c r="K8" s="499"/>
      <c r="L8" s="512" t="str">
        <f>IF(AND(SUM(Studien!F16:G16)=2,Studien!H16&lt;&gt;0),Studien!C16,"")</f>
        <v/>
      </c>
      <c r="M8" s="499"/>
    </row>
    <row r="9" spans="1:13" x14ac:dyDescent="0.2">
      <c r="A9" s="495" t="str">
        <f>IF(AND(SUM(Studien!F17:G17)=2,Studien!H17&lt;&gt;0),Studien!A17,"")</f>
        <v/>
      </c>
      <c r="B9" s="495" t="str">
        <f>IF(AND(SUM(Studien!F17:G17)=2,Studien!H17&lt;&gt;0),Studien!B17,"")</f>
        <v/>
      </c>
      <c r="C9" s="496"/>
      <c r="D9" s="497"/>
      <c r="E9" s="497"/>
      <c r="F9" s="499"/>
      <c r="G9" s="499"/>
      <c r="H9" s="499"/>
      <c r="I9" s="499"/>
      <c r="J9" s="499"/>
      <c r="K9" s="499"/>
      <c r="L9" s="512" t="str">
        <f>IF(AND(SUM(Studien!F17:G17)=2,Studien!H17&lt;&gt;0),Studien!C17,"")</f>
        <v/>
      </c>
      <c r="M9" s="499"/>
    </row>
    <row r="10" spans="1:13" x14ac:dyDescent="0.2">
      <c r="A10" s="495" t="str">
        <f>IF(AND(SUM(Studien!F18:G18)=2,Studien!H18&lt;&gt;0),Studien!A18,"")</f>
        <v/>
      </c>
      <c r="B10" s="495" t="str">
        <f>IF(AND(SUM(Studien!F18:G18)=2,Studien!H18&lt;&gt;0),Studien!B18,"")</f>
        <v/>
      </c>
      <c r="C10" s="496"/>
      <c r="D10" s="497"/>
      <c r="E10" s="497"/>
      <c r="F10" s="499"/>
      <c r="G10" s="499"/>
      <c r="H10" s="499"/>
      <c r="I10" s="499"/>
      <c r="J10" s="499"/>
      <c r="K10" s="499"/>
      <c r="L10" s="512" t="str">
        <f>IF(AND(SUM(Studien!F18:G18)=2,Studien!H18&lt;&gt;0),Studien!C18,"")</f>
        <v/>
      </c>
      <c r="M10" s="499"/>
    </row>
    <row r="11" spans="1:13" x14ac:dyDescent="0.2">
      <c r="A11" s="495" t="str">
        <f>IF(AND(SUM(Studien!F19:G19)=2,Studien!H19&lt;&gt;0),Studien!A19,"")</f>
        <v/>
      </c>
      <c r="B11" s="495" t="str">
        <f>IF(AND(SUM(Studien!F19:G19)=2,Studien!H19&lt;&gt;0),Studien!B19,"")</f>
        <v/>
      </c>
      <c r="C11" s="496"/>
      <c r="D11" s="497"/>
      <c r="E11" s="497"/>
      <c r="F11" s="499"/>
      <c r="G11" s="499"/>
      <c r="H11" s="499"/>
      <c r="I11" s="499"/>
      <c r="J11" s="499"/>
      <c r="K11" s="499"/>
      <c r="L11" s="512" t="str">
        <f>IF(AND(SUM(Studien!F19:G19)=2,Studien!H19&lt;&gt;0),Studien!C19,"")</f>
        <v/>
      </c>
      <c r="M11" s="499"/>
    </row>
    <row r="12" spans="1:13" x14ac:dyDescent="0.2">
      <c r="A12" s="495" t="str">
        <f>IF(AND(SUM(Studien!F20:G20)=2,Studien!H20&lt;&gt;0),Studien!A20,"")</f>
        <v/>
      </c>
      <c r="B12" s="495" t="str">
        <f>IF(AND(SUM(Studien!F20:G20)=2,Studien!H20&lt;&gt;0),Studien!B20,"")</f>
        <v/>
      </c>
      <c r="C12" s="496"/>
      <c r="D12" s="497"/>
      <c r="E12" s="497"/>
      <c r="F12" s="499"/>
      <c r="G12" s="499"/>
      <c r="H12" s="499"/>
      <c r="I12" s="499"/>
      <c r="J12" s="499"/>
      <c r="K12" s="499"/>
      <c r="L12" s="512" t="str">
        <f>IF(AND(SUM(Studien!F20:G20)=2,Studien!H20&lt;&gt;0),Studien!C20,"")</f>
        <v/>
      </c>
      <c r="M12" s="499"/>
    </row>
    <row r="13" spans="1:13" x14ac:dyDescent="0.2">
      <c r="A13" s="495" t="str">
        <f>IF(AND(SUM(Studien!F21:G21)=2,Studien!H21&lt;&gt;0),Studien!A21,"")</f>
        <v/>
      </c>
      <c r="B13" s="495" t="str">
        <f>IF(AND(SUM(Studien!F21:G21)=2,Studien!H21&lt;&gt;0),Studien!B21,"")</f>
        <v/>
      </c>
      <c r="C13" s="496"/>
      <c r="D13" s="497"/>
      <c r="E13" s="497"/>
      <c r="F13" s="499"/>
      <c r="G13" s="499"/>
      <c r="H13" s="499"/>
      <c r="I13" s="499"/>
      <c r="J13" s="499"/>
      <c r="K13" s="499"/>
      <c r="L13" s="512" t="str">
        <f>IF(AND(SUM(Studien!F21:G21)=2,Studien!H21&lt;&gt;0),Studien!C21,"")</f>
        <v/>
      </c>
      <c r="M13" s="499"/>
    </row>
    <row r="14" spans="1:13" x14ac:dyDescent="0.2">
      <c r="A14" s="495" t="str">
        <f>IF(AND(SUM(Studien!F22:G22)=2,Studien!H22&lt;&gt;0),Studien!A22,"")</f>
        <v/>
      </c>
      <c r="B14" s="495" t="str">
        <f>IF(AND(SUM(Studien!F22:G22)=2,Studien!H22&lt;&gt;0),Studien!B22,"")</f>
        <v/>
      </c>
      <c r="C14" s="496"/>
      <c r="D14" s="497"/>
      <c r="E14" s="497"/>
      <c r="F14" s="499"/>
      <c r="G14" s="499"/>
      <c r="H14" s="499"/>
      <c r="I14" s="499"/>
      <c r="J14" s="499"/>
      <c r="K14" s="499"/>
      <c r="L14" s="512" t="str">
        <f>IF(AND(SUM(Studien!F22:G22)=2,Studien!H22&lt;&gt;0),Studien!C22,"")</f>
        <v/>
      </c>
      <c r="M14" s="499"/>
    </row>
    <row r="15" spans="1:13" x14ac:dyDescent="0.2">
      <c r="A15" s="495" t="str">
        <f>IF(AND(SUM(Studien!F23:G23)=2,Studien!H23&lt;&gt;0),Studien!A23,"")</f>
        <v/>
      </c>
      <c r="B15" s="495" t="str">
        <f>IF(AND(SUM(Studien!F23:G23)=2,Studien!H23&lt;&gt;0),Studien!B23,"")</f>
        <v/>
      </c>
      <c r="C15" s="496"/>
      <c r="D15" s="497"/>
      <c r="E15" s="497"/>
      <c r="F15" s="499"/>
      <c r="G15" s="499"/>
      <c r="H15" s="499"/>
      <c r="I15" s="499"/>
      <c r="J15" s="499"/>
      <c r="K15" s="499"/>
      <c r="L15" s="512" t="str">
        <f>IF(AND(SUM(Studien!F23:G23)=2,Studien!H23&lt;&gt;0),Studien!C23,"")</f>
        <v/>
      </c>
      <c r="M15" s="499"/>
    </row>
    <row r="16" spans="1:13" x14ac:dyDescent="0.2">
      <c r="A16" s="495" t="str">
        <f>IF(AND(SUM(Studien!F24:G24)=2,Studien!H24&lt;&gt;0),Studien!A24,"")</f>
        <v/>
      </c>
      <c r="B16" s="495" t="str">
        <f>IF(AND(SUM(Studien!F24:G24)=2,Studien!H24&lt;&gt;0),Studien!B24,"")</f>
        <v/>
      </c>
      <c r="C16" s="496"/>
      <c r="D16" s="497"/>
      <c r="E16" s="497"/>
      <c r="F16" s="499"/>
      <c r="G16" s="499"/>
      <c r="H16" s="499"/>
      <c r="I16" s="499"/>
      <c r="J16" s="499"/>
      <c r="K16" s="499"/>
      <c r="L16" s="512" t="str">
        <f>IF(AND(SUM(Studien!F24:G24)=2,Studien!H24&lt;&gt;0),Studien!C24,"")</f>
        <v/>
      </c>
      <c r="M16" s="499"/>
    </row>
    <row r="17" spans="1:13" x14ac:dyDescent="0.2">
      <c r="A17" s="495" t="str">
        <f>IF(AND(SUM(Studien!F25:G25)=2,Studien!H25&lt;&gt;0),Studien!A25,"")</f>
        <v/>
      </c>
      <c r="B17" s="495" t="str">
        <f>IF(AND(SUM(Studien!F25:G25)=2,Studien!H25&lt;&gt;0),Studien!B25,"")</f>
        <v/>
      </c>
      <c r="C17" s="496"/>
      <c r="D17" s="497"/>
      <c r="E17" s="497"/>
      <c r="F17" s="499"/>
      <c r="G17" s="499"/>
      <c r="H17" s="499"/>
      <c r="I17" s="499"/>
      <c r="J17" s="499"/>
      <c r="K17" s="499"/>
      <c r="L17" s="512" t="str">
        <f>IF(AND(SUM(Studien!F25:G25)=2,Studien!H25&lt;&gt;0),Studien!C25,"")</f>
        <v/>
      </c>
      <c r="M17" s="499"/>
    </row>
    <row r="18" spans="1:13" x14ac:dyDescent="0.2">
      <c r="A18" s="495" t="str">
        <f>IF(AND(SUM(Studien!F26:G26)=2,Studien!H26&lt;&gt;0),Studien!A26,"")</f>
        <v/>
      </c>
      <c r="B18" s="495" t="str">
        <f>IF(AND(SUM(Studien!F26:G26)=2,Studien!H26&lt;&gt;0),Studien!B26,"")</f>
        <v/>
      </c>
      <c r="C18" s="496"/>
      <c r="D18" s="497"/>
      <c r="E18" s="497"/>
      <c r="F18" s="499"/>
      <c r="G18" s="499"/>
      <c r="H18" s="499"/>
      <c r="I18" s="499"/>
      <c r="J18" s="499"/>
      <c r="K18" s="499"/>
      <c r="L18" s="512" t="str">
        <f>IF(AND(SUM(Studien!F26:G26)=2,Studien!H26&lt;&gt;0),Studien!C26,"")</f>
        <v/>
      </c>
      <c r="M18" s="499"/>
    </row>
    <row r="19" spans="1:13" x14ac:dyDescent="0.2">
      <c r="A19" s="495" t="str">
        <f>IF(AND(SUM(Studien!F27:G27)=2,Studien!H27&lt;&gt;0),Studien!A27,"")</f>
        <v/>
      </c>
      <c r="B19" s="495" t="str">
        <f>IF(AND(SUM(Studien!F27:G27)=2,Studien!H27&lt;&gt;0),Studien!B27,"")</f>
        <v/>
      </c>
      <c r="C19" s="496"/>
      <c r="D19" s="497"/>
      <c r="E19" s="497"/>
      <c r="F19" s="499"/>
      <c r="G19" s="499"/>
      <c r="H19" s="499"/>
      <c r="I19" s="499"/>
      <c r="J19" s="499"/>
      <c r="K19" s="499"/>
      <c r="L19" s="512" t="str">
        <f>IF(AND(SUM(Studien!F27:G27)=2,Studien!H27&lt;&gt;0),Studien!C27,"")</f>
        <v/>
      </c>
      <c r="M19" s="499"/>
    </row>
    <row r="20" spans="1:13" x14ac:dyDescent="0.2">
      <c r="A20" s="495" t="str">
        <f>IF(AND(SUM(Studien!F28:G28)=2,Studien!H28&lt;&gt;0),Studien!A28,"")</f>
        <v/>
      </c>
      <c r="B20" s="495" t="str">
        <f>IF(AND(SUM(Studien!F28:G28)=2,Studien!H28&lt;&gt;0),Studien!B28,"")</f>
        <v/>
      </c>
      <c r="C20" s="496"/>
      <c r="D20" s="497"/>
      <c r="E20" s="497"/>
      <c r="F20" s="499"/>
      <c r="G20" s="499"/>
      <c r="H20" s="499"/>
      <c r="I20" s="499"/>
      <c r="J20" s="499"/>
      <c r="K20" s="499"/>
      <c r="L20" s="512" t="str">
        <f>IF(AND(SUM(Studien!F28:G28)=2,Studien!H28&lt;&gt;0),Studien!C28,"")</f>
        <v/>
      </c>
      <c r="M20" s="499"/>
    </row>
    <row r="21" spans="1:13" x14ac:dyDescent="0.2">
      <c r="A21" s="495" t="str">
        <f>IF(AND(SUM(Studien!F29:G29)=2,Studien!H29&lt;&gt;0),Studien!A29,"")</f>
        <v/>
      </c>
      <c r="B21" s="495" t="str">
        <f>IF(AND(SUM(Studien!F29:G29)=2,Studien!H29&lt;&gt;0),Studien!B29,"")</f>
        <v/>
      </c>
      <c r="C21" s="496"/>
      <c r="D21" s="497"/>
      <c r="E21" s="497"/>
      <c r="F21" s="499"/>
      <c r="G21" s="499"/>
      <c r="H21" s="499"/>
      <c r="I21" s="499"/>
      <c r="J21" s="499"/>
      <c r="K21" s="499"/>
      <c r="L21" s="512" t="str">
        <f>IF(AND(SUM(Studien!F29:G29)=2,Studien!H29&lt;&gt;0),Studien!C29,"")</f>
        <v/>
      </c>
      <c r="M21" s="499"/>
    </row>
    <row r="22" spans="1:13" x14ac:dyDescent="0.2">
      <c r="A22" s="495" t="str">
        <f>IF(AND(SUM(Studien!F30:G30)=2,Studien!H30&lt;&gt;0),Studien!A30,"")</f>
        <v/>
      </c>
      <c r="B22" s="495" t="str">
        <f>IF(AND(SUM(Studien!F30:G30)=2,Studien!H30&lt;&gt;0),Studien!B30,"")</f>
        <v/>
      </c>
      <c r="C22" s="496"/>
      <c r="D22" s="497"/>
      <c r="E22" s="497"/>
      <c r="F22" s="499"/>
      <c r="G22" s="499"/>
      <c r="H22" s="499"/>
      <c r="I22" s="499"/>
      <c r="J22" s="499"/>
      <c r="K22" s="499"/>
      <c r="L22" s="512" t="str">
        <f>IF(AND(SUM(Studien!F30:G30)=2,Studien!H30&lt;&gt;0),Studien!C30,"")</f>
        <v/>
      </c>
      <c r="M22" s="499"/>
    </row>
    <row r="23" spans="1:13" x14ac:dyDescent="0.2">
      <c r="A23" s="495" t="str">
        <f>IF(AND(SUM(Studien!F31:G31)=2,Studien!H31&lt;&gt;0),Studien!A31,"")</f>
        <v/>
      </c>
      <c r="B23" s="495" t="str">
        <f>IF(AND(SUM(Studien!F31:G31)=2,Studien!H31&lt;&gt;0),Studien!B31,"")</f>
        <v/>
      </c>
      <c r="C23" s="496"/>
      <c r="D23" s="497"/>
      <c r="E23" s="497"/>
      <c r="F23" s="499"/>
      <c r="G23" s="499"/>
      <c r="H23" s="499"/>
      <c r="I23" s="499"/>
      <c r="J23" s="499"/>
      <c r="K23" s="499"/>
      <c r="L23" s="512" t="str">
        <f>IF(AND(SUM(Studien!F31:G31)=2,Studien!H31&lt;&gt;0),Studien!C31,"")</f>
        <v/>
      </c>
      <c r="M23" s="499"/>
    </row>
    <row r="24" spans="1:13" x14ac:dyDescent="0.2">
      <c r="A24" s="495" t="str">
        <f>IF(AND(SUM(Studien!F32:G32)=2,Studien!H32&lt;&gt;0),Studien!A32,"")</f>
        <v/>
      </c>
      <c r="B24" s="495" t="str">
        <f>IF(AND(SUM(Studien!F32:G32)=2,Studien!H32&lt;&gt;0),Studien!B32,"")</f>
        <v/>
      </c>
      <c r="C24" s="496"/>
      <c r="D24" s="497"/>
      <c r="E24" s="497"/>
      <c r="F24" s="499"/>
      <c r="G24" s="499"/>
      <c r="H24" s="499"/>
      <c r="I24" s="499"/>
      <c r="J24" s="499"/>
      <c r="K24" s="499"/>
      <c r="L24" s="512" t="str">
        <f>IF(AND(SUM(Studien!F32:G32)=2,Studien!H32&lt;&gt;0),Studien!C32,"")</f>
        <v/>
      </c>
      <c r="M24" s="499"/>
    </row>
    <row r="25" spans="1:13" x14ac:dyDescent="0.2">
      <c r="A25" s="495" t="str">
        <f>IF(AND(SUM(Studien!F33:G33)=2,Studien!H33&lt;&gt;0),Studien!A33,"")</f>
        <v/>
      </c>
      <c r="B25" s="495" t="str">
        <f>IF(AND(SUM(Studien!F33:G33)=2,Studien!H33&lt;&gt;0),Studien!B33,"")</f>
        <v/>
      </c>
      <c r="C25" s="496"/>
      <c r="D25" s="497"/>
      <c r="E25" s="497"/>
      <c r="F25" s="499"/>
      <c r="G25" s="499"/>
      <c r="H25" s="499"/>
      <c r="I25" s="499"/>
      <c r="J25" s="499"/>
      <c r="K25" s="499"/>
      <c r="L25" s="512" t="str">
        <f>IF(AND(SUM(Studien!F33:G33)=2,Studien!H33&lt;&gt;0),Studien!C33,"")</f>
        <v/>
      </c>
      <c r="M25" s="499"/>
    </row>
    <row r="26" spans="1:13" x14ac:dyDescent="0.2">
      <c r="A26" s="495" t="str">
        <f>IF(AND(SUM(Studien!F34:G34)=2,Studien!H34&lt;&gt;0),Studien!A34,"")</f>
        <v/>
      </c>
      <c r="B26" s="495" t="str">
        <f>IF(AND(SUM(Studien!F34:G34)=2,Studien!H34&lt;&gt;0),Studien!B34,"")</f>
        <v/>
      </c>
      <c r="C26" s="496"/>
      <c r="D26" s="497"/>
      <c r="E26" s="497"/>
      <c r="F26" s="499"/>
      <c r="G26" s="499"/>
      <c r="H26" s="499"/>
      <c r="I26" s="499"/>
      <c r="J26" s="499"/>
      <c r="K26" s="499"/>
      <c r="L26" s="512" t="str">
        <f>IF(AND(SUM(Studien!F34:G34)=2,Studien!H34&lt;&gt;0),Studien!C34,"")</f>
        <v/>
      </c>
      <c r="M26" s="499"/>
    </row>
    <row r="27" spans="1:13" x14ac:dyDescent="0.2">
      <c r="A27" s="495" t="str">
        <f>IF(AND(SUM(Studien!F35:G35)=2,Studien!H35&lt;&gt;0),Studien!A35,"")</f>
        <v/>
      </c>
      <c r="B27" s="495" t="str">
        <f>IF(AND(SUM(Studien!F35:G35)=2,Studien!H35&lt;&gt;0),Studien!B35,"")</f>
        <v/>
      </c>
      <c r="C27" s="496"/>
      <c r="D27" s="497"/>
      <c r="E27" s="497"/>
      <c r="F27" s="499"/>
      <c r="G27" s="499"/>
      <c r="H27" s="499"/>
      <c r="I27" s="499"/>
      <c r="J27" s="499"/>
      <c r="K27" s="499"/>
      <c r="L27" s="512" t="str">
        <f>IF(AND(SUM(Studien!F35:G35)=2,Studien!H35&lt;&gt;0),Studien!C35,"")</f>
        <v/>
      </c>
      <c r="M27" s="499"/>
    </row>
    <row r="28" spans="1:13" x14ac:dyDescent="0.2">
      <c r="A28" s="495" t="str">
        <f>IF(AND(SUM(Studien!F36:G36)=2,Studien!H36&lt;&gt;0),Studien!A36,"")</f>
        <v/>
      </c>
      <c r="B28" s="495" t="str">
        <f>IF(AND(SUM(Studien!F36:G36)=2,Studien!H36&lt;&gt;0),Studien!B36,"")</f>
        <v/>
      </c>
      <c r="C28" s="496"/>
      <c r="D28" s="497"/>
      <c r="E28" s="497"/>
      <c r="F28" s="499"/>
      <c r="G28" s="499"/>
      <c r="H28" s="499"/>
      <c r="I28" s="499"/>
      <c r="J28" s="499"/>
      <c r="K28" s="499"/>
      <c r="L28" s="512" t="str">
        <f>IF(AND(SUM(Studien!F36:G36)=2,Studien!H36&lt;&gt;0),Studien!C36,"")</f>
        <v/>
      </c>
      <c r="M28" s="499"/>
    </row>
    <row r="29" spans="1:13" x14ac:dyDescent="0.2">
      <c r="A29" s="495" t="str">
        <f>IF(AND(SUM(Studien!F37:G37)=2,Studien!H37&lt;&gt;0),Studien!A37,"")</f>
        <v/>
      </c>
      <c r="B29" s="495" t="str">
        <f>IF(AND(SUM(Studien!F37:G37)=2,Studien!H37&lt;&gt;0),Studien!B37,"")</f>
        <v/>
      </c>
      <c r="C29" s="496"/>
      <c r="D29" s="497"/>
      <c r="E29" s="497"/>
      <c r="F29" s="499"/>
      <c r="G29" s="499"/>
      <c r="H29" s="499"/>
      <c r="I29" s="499"/>
      <c r="J29" s="499"/>
      <c r="K29" s="499"/>
      <c r="L29" s="512" t="str">
        <f>IF(AND(SUM(Studien!F37:G37)=2,Studien!H37&lt;&gt;0),Studien!C37,"")</f>
        <v/>
      </c>
      <c r="M29" s="499"/>
    </row>
    <row r="30" spans="1:13" x14ac:dyDescent="0.2">
      <c r="A30" s="495" t="str">
        <f>IF(AND(SUM(Studien!F38:G38)=2,Studien!H38&lt;&gt;0),Studien!A38,"")</f>
        <v/>
      </c>
      <c r="B30" s="495" t="str">
        <f>IF(AND(SUM(Studien!F38:G38)=2,Studien!H38&lt;&gt;0),Studien!B38,"")</f>
        <v/>
      </c>
      <c r="C30" s="496"/>
      <c r="D30" s="497"/>
      <c r="E30" s="497"/>
      <c r="F30" s="499"/>
      <c r="G30" s="499"/>
      <c r="H30" s="499"/>
      <c r="I30" s="499"/>
      <c r="J30" s="499"/>
      <c r="K30" s="499"/>
      <c r="L30" s="512" t="str">
        <f>IF(AND(SUM(Studien!F38:G38)=2,Studien!H38&lt;&gt;0),Studien!C38,"")</f>
        <v/>
      </c>
      <c r="M30" s="499"/>
    </row>
    <row r="31" spans="1:13" x14ac:dyDescent="0.2">
      <c r="A31" s="495" t="str">
        <f>IF(AND(SUM(Studien!F39:G39)=2,Studien!H39&lt;&gt;0),Studien!A39,"")</f>
        <v/>
      </c>
      <c r="B31" s="495" t="str">
        <f>IF(AND(SUM(Studien!F39:G39)=2,Studien!H39&lt;&gt;0),Studien!B39,"")</f>
        <v/>
      </c>
      <c r="C31" s="496"/>
      <c r="D31" s="497"/>
      <c r="E31" s="497"/>
      <c r="F31" s="499"/>
      <c r="G31" s="499"/>
      <c r="H31" s="499"/>
      <c r="I31" s="499"/>
      <c r="J31" s="499"/>
      <c r="K31" s="499"/>
      <c r="L31" s="512" t="str">
        <f>IF(AND(SUM(Studien!F39:G39)=2,Studien!H39&lt;&gt;0),Studien!C39,"")</f>
        <v/>
      </c>
      <c r="M31" s="499"/>
    </row>
    <row r="32" spans="1:13" x14ac:dyDescent="0.2">
      <c r="A32" s="495" t="str">
        <f>IF(AND(SUM(Studien!F40:G40)=2,Studien!H40&lt;&gt;0),Studien!A40,"")</f>
        <v/>
      </c>
      <c r="B32" s="495" t="str">
        <f>IF(AND(SUM(Studien!F40:G40)=2,Studien!H40&lt;&gt;0),Studien!B40,"")</f>
        <v/>
      </c>
      <c r="C32" s="497"/>
      <c r="D32" s="497"/>
      <c r="E32" s="497"/>
      <c r="F32" s="497"/>
      <c r="G32" s="497"/>
      <c r="H32" s="497"/>
      <c r="I32" s="497"/>
      <c r="J32" s="497"/>
      <c r="K32" s="497"/>
      <c r="L32" s="512" t="str">
        <f>IF(AND(SUM(Studien!F40:G40)=2,Studien!H40&lt;&gt;0),Studien!C40,"")</f>
        <v/>
      </c>
      <c r="M32" s="497"/>
    </row>
    <row r="33" spans="1:13" x14ac:dyDescent="0.2">
      <c r="A33" s="495" t="str">
        <f>IF(AND(SUM(Studien!F41:G41)=2,Studien!H41&lt;&gt;0),Studien!A41,"")</f>
        <v/>
      </c>
      <c r="B33" s="495" t="str">
        <f>IF(AND(SUM(Studien!F41:G41)=2,Studien!H41&lt;&gt;0),Studien!B41,"")</f>
        <v/>
      </c>
      <c r="C33" s="497"/>
      <c r="D33" s="497"/>
      <c r="E33" s="497"/>
      <c r="F33" s="497"/>
      <c r="G33" s="497"/>
      <c r="H33" s="497"/>
      <c r="I33" s="497"/>
      <c r="J33" s="497"/>
      <c r="K33" s="497"/>
      <c r="L33" s="512" t="str">
        <f>IF(AND(SUM(Studien!F41:G41)=2,Studien!H41&lt;&gt;0),Studien!C41,"")</f>
        <v/>
      </c>
      <c r="M33" s="497"/>
    </row>
    <row r="34" spans="1:13" x14ac:dyDescent="0.2">
      <c r="A34" s="495" t="str">
        <f>IF(AND(SUM(Studien!F42:G42)=2,Studien!H42&lt;&gt;0),Studien!A42,"")</f>
        <v/>
      </c>
      <c r="B34" s="495" t="str">
        <f>IF(AND(SUM(Studien!F42:G42)=2,Studien!H42&lt;&gt;0),Studien!B42,"")</f>
        <v/>
      </c>
      <c r="C34" s="497"/>
      <c r="D34" s="497"/>
      <c r="E34" s="497"/>
      <c r="F34" s="497"/>
      <c r="G34" s="497"/>
      <c r="H34" s="497"/>
      <c r="I34" s="497"/>
      <c r="J34" s="497"/>
      <c r="K34" s="497"/>
      <c r="L34" s="512" t="str">
        <f>IF(AND(SUM(Studien!F42:G42)=2,Studien!H42&lt;&gt;0),Studien!C42,"")</f>
        <v/>
      </c>
      <c r="M34" s="497"/>
    </row>
    <row r="35" spans="1:13" x14ac:dyDescent="0.2">
      <c r="A35" s="495" t="str">
        <f>IF(AND(SUM(Studien!F43:G43)=2,Studien!H43&lt;&gt;0),Studien!A43,"")</f>
        <v/>
      </c>
      <c r="B35" s="495" t="str">
        <f>IF(AND(SUM(Studien!F43:G43)=2,Studien!H43&lt;&gt;0),Studien!B43,"")</f>
        <v/>
      </c>
      <c r="C35" s="497"/>
      <c r="D35" s="497"/>
      <c r="E35" s="497"/>
      <c r="F35" s="497"/>
      <c r="G35" s="497"/>
      <c r="H35" s="497"/>
      <c r="I35" s="497"/>
      <c r="J35" s="497"/>
      <c r="K35" s="497"/>
      <c r="L35" s="512" t="str">
        <f>IF(AND(SUM(Studien!F43:G43)=2,Studien!H43&lt;&gt;0),Studien!C43,"")</f>
        <v/>
      </c>
      <c r="M35" s="497"/>
    </row>
    <row r="36" spans="1:13" x14ac:dyDescent="0.2">
      <c r="A36" s="495" t="str">
        <f>IF(AND(SUM(Studien!F44:G44)=2,Studien!H44&lt;&gt;0),Studien!A44,"")</f>
        <v/>
      </c>
      <c r="B36" s="495" t="str">
        <f>IF(AND(SUM(Studien!F44:G44)=2,Studien!H44&lt;&gt;0),Studien!B44,"")</f>
        <v/>
      </c>
      <c r="C36" s="497"/>
      <c r="D36" s="497"/>
      <c r="E36" s="497"/>
      <c r="F36" s="497"/>
      <c r="G36" s="497"/>
      <c r="H36" s="497"/>
      <c r="I36" s="497"/>
      <c r="J36" s="497"/>
      <c r="K36" s="497"/>
      <c r="L36" s="512" t="str">
        <f>IF(AND(SUM(Studien!F44:G44)=2,Studien!H44&lt;&gt;0),Studien!C44,"")</f>
        <v/>
      </c>
      <c r="M36" s="497"/>
    </row>
    <row r="37" spans="1:13" x14ac:dyDescent="0.2">
      <c r="A37" s="495" t="str">
        <f>IF(AND(SUM(Studien!F45:G45)=2,Studien!H45&lt;&gt;0),Studien!A45,"")</f>
        <v/>
      </c>
      <c r="B37" s="495" t="str">
        <f>IF(AND(SUM(Studien!F45:G45)=2,Studien!H45&lt;&gt;0),Studien!B45,"")</f>
        <v/>
      </c>
      <c r="C37" s="497"/>
      <c r="D37" s="497"/>
      <c r="E37" s="497"/>
      <c r="F37" s="497"/>
      <c r="G37" s="497"/>
      <c r="H37" s="497"/>
      <c r="I37" s="497"/>
      <c r="J37" s="497"/>
      <c r="K37" s="497"/>
      <c r="L37" s="512" t="str">
        <f>IF(AND(SUM(Studien!F45:G45)=2,Studien!H45&lt;&gt;0),Studien!C45,"")</f>
        <v/>
      </c>
      <c r="M37" s="497"/>
    </row>
    <row r="38" spans="1:13" x14ac:dyDescent="0.2">
      <c r="A38" s="495" t="str">
        <f>IF(AND(SUM(Studien!F46:G46)=2,Studien!H46&lt;&gt;0),Studien!A46,"")</f>
        <v/>
      </c>
      <c r="B38" s="495" t="str">
        <f>IF(AND(SUM(Studien!F46:G46)=2,Studien!H46&lt;&gt;0),Studien!B46,"")</f>
        <v/>
      </c>
      <c r="C38" s="497"/>
      <c r="D38" s="497"/>
      <c r="E38" s="497"/>
      <c r="F38" s="497"/>
      <c r="G38" s="497"/>
      <c r="H38" s="497"/>
      <c r="I38" s="497"/>
      <c r="J38" s="497"/>
      <c r="K38" s="497"/>
      <c r="L38" s="512" t="str">
        <f>IF(AND(SUM(Studien!F46:G46)=2,Studien!H46&lt;&gt;0),Studien!C46,"")</f>
        <v/>
      </c>
      <c r="M38" s="497"/>
    </row>
    <row r="39" spans="1:13" x14ac:dyDescent="0.2">
      <c r="A39" s="495" t="str">
        <f>IF(AND(SUM(Studien!F47:G47)=2,Studien!H47&lt;&gt;0),Studien!A47,"")</f>
        <v/>
      </c>
      <c r="B39" s="495" t="str">
        <f>IF(AND(SUM(Studien!F47:G47)=2,Studien!H47&lt;&gt;0),Studien!B47,"")</f>
        <v/>
      </c>
      <c r="C39" s="497"/>
      <c r="D39" s="497"/>
      <c r="E39" s="497"/>
      <c r="F39" s="497"/>
      <c r="G39" s="497"/>
      <c r="H39" s="497"/>
      <c r="I39" s="497"/>
      <c r="J39" s="497"/>
      <c r="K39" s="497"/>
      <c r="L39" s="512" t="str">
        <f>IF(AND(SUM(Studien!F47:G47)=2,Studien!H47&lt;&gt;0),Studien!C47,"")</f>
        <v/>
      </c>
      <c r="M39" s="497"/>
    </row>
    <row r="40" spans="1:13" x14ac:dyDescent="0.2">
      <c r="A40" s="495" t="str">
        <f>IF(AND(SUM(Studien!F48:G48)=2,Studien!H48&lt;&gt;0),Studien!A48,"")</f>
        <v/>
      </c>
      <c r="B40" s="495" t="str">
        <f>IF(AND(SUM(Studien!F48:G48)=2,Studien!H48&lt;&gt;0),Studien!B48,"")</f>
        <v/>
      </c>
      <c r="C40" s="497"/>
      <c r="D40" s="497"/>
      <c r="E40" s="497"/>
      <c r="F40" s="497"/>
      <c r="G40" s="497"/>
      <c r="H40" s="497"/>
      <c r="I40" s="497"/>
      <c r="J40" s="497"/>
      <c r="K40" s="497"/>
      <c r="L40" s="512" t="str">
        <f>IF(AND(SUM(Studien!F48:G48)=2,Studien!H48&lt;&gt;0),Studien!C48,"")</f>
        <v/>
      </c>
      <c r="M40" s="497"/>
    </row>
    <row r="41" spans="1:13" x14ac:dyDescent="0.2">
      <c r="A41" s="495" t="str">
        <f>IF(AND(SUM(Studien!F49:G49)=2,Studien!H49&lt;&gt;0),Studien!A49,"")</f>
        <v/>
      </c>
      <c r="B41" s="495" t="str">
        <f>IF(AND(SUM(Studien!F49:G49)=2,Studien!H49&lt;&gt;0),Studien!B49,"")</f>
        <v/>
      </c>
      <c r="C41" s="497"/>
      <c r="D41" s="497"/>
      <c r="E41" s="497"/>
      <c r="F41" s="497"/>
      <c r="G41" s="497"/>
      <c r="H41" s="497"/>
      <c r="I41" s="497"/>
      <c r="J41" s="497"/>
      <c r="K41" s="497"/>
      <c r="L41" s="512" t="str">
        <f>IF(AND(SUM(Studien!F49:G49)=2,Studien!H49&lt;&gt;0),Studien!C49,"")</f>
        <v/>
      </c>
      <c r="M41" s="497"/>
    </row>
    <row r="42" spans="1:13" x14ac:dyDescent="0.2">
      <c r="A42" s="495" t="str">
        <f>IF(AND(SUM(Studien!F50:G50)=2,Studien!H50&lt;&gt;0),Studien!A50,"")</f>
        <v/>
      </c>
      <c r="B42" s="495" t="str">
        <f>IF(AND(SUM(Studien!F50:G50)=2,Studien!H50&lt;&gt;0),Studien!B50,"")</f>
        <v/>
      </c>
      <c r="C42" s="497"/>
      <c r="D42" s="497"/>
      <c r="E42" s="497"/>
      <c r="F42" s="497"/>
      <c r="G42" s="497"/>
      <c r="H42" s="497"/>
      <c r="I42" s="497"/>
      <c r="J42" s="497"/>
      <c r="K42" s="497"/>
      <c r="L42" s="512" t="str">
        <f>IF(AND(SUM(Studien!F50:G50)=2,Studien!H50&lt;&gt;0),Studien!C50,"")</f>
        <v/>
      </c>
      <c r="M42" s="497"/>
    </row>
    <row r="43" spans="1:13" x14ac:dyDescent="0.2">
      <c r="A43" s="495" t="str">
        <f>IF(AND(SUM(Studien!F51:G51)=2,Studien!H51&lt;&gt;0),Studien!A51,"")</f>
        <v/>
      </c>
      <c r="B43" s="495" t="str">
        <f>IF(AND(SUM(Studien!F51:G51)=2,Studien!H51&lt;&gt;0),Studien!B51,"")</f>
        <v/>
      </c>
      <c r="C43" s="497"/>
      <c r="D43" s="497"/>
      <c r="E43" s="497"/>
      <c r="F43" s="497"/>
      <c r="G43" s="497"/>
      <c r="H43" s="497"/>
      <c r="I43" s="497"/>
      <c r="J43" s="497"/>
      <c r="K43" s="497"/>
      <c r="L43" s="512" t="str">
        <f>IF(AND(SUM(Studien!F51:G51)=2,Studien!H51&lt;&gt;0),Studien!C51,"")</f>
        <v/>
      </c>
      <c r="M43" s="497"/>
    </row>
    <row r="44" spans="1:13" x14ac:dyDescent="0.2">
      <c r="A44" s="495" t="str">
        <f>IF(AND(SUM(Studien!F52:G52)=2,Studien!H52&lt;&gt;0),Studien!A52,"")</f>
        <v/>
      </c>
      <c r="B44" s="495" t="str">
        <f>IF(AND(SUM(Studien!F52:G52)=2,Studien!H52&lt;&gt;0),Studien!B52,"")</f>
        <v/>
      </c>
      <c r="C44" s="497"/>
      <c r="D44" s="497"/>
      <c r="E44" s="497"/>
      <c r="F44" s="497"/>
      <c r="G44" s="497"/>
      <c r="H44" s="497"/>
      <c r="I44" s="497"/>
      <c r="J44" s="497"/>
      <c r="K44" s="497"/>
      <c r="L44" s="512" t="str">
        <f>IF(AND(SUM(Studien!F52:G52)=2,Studien!H52&lt;&gt;0),Studien!C52,"")</f>
        <v/>
      </c>
      <c r="M44" s="497"/>
    </row>
    <row r="45" spans="1:13" x14ac:dyDescent="0.2">
      <c r="A45" s="495" t="str">
        <f>IF(AND(SUM(Studien!F53:G53)=2,Studien!H53&lt;&gt;0),Studien!A53,"")</f>
        <v/>
      </c>
      <c r="B45" s="495" t="str">
        <f>IF(AND(SUM(Studien!F53:G53)=2,Studien!H53&lt;&gt;0),Studien!B53,"")</f>
        <v/>
      </c>
      <c r="C45" s="497"/>
      <c r="D45" s="497"/>
      <c r="E45" s="497"/>
      <c r="F45" s="497"/>
      <c r="G45" s="497"/>
      <c r="H45" s="497"/>
      <c r="I45" s="497"/>
      <c r="J45" s="497"/>
      <c r="K45" s="497"/>
      <c r="L45" s="512" t="str">
        <f>IF(AND(SUM(Studien!F53:G53)=2,Studien!H53&lt;&gt;0),Studien!C53,"")</f>
        <v/>
      </c>
      <c r="M45" s="497"/>
    </row>
    <row r="46" spans="1:13" x14ac:dyDescent="0.2">
      <c r="A46" s="495" t="str">
        <f>IF(AND(SUM(Studien!F54:G54)=2,Studien!H54&lt;&gt;0),Studien!A54,"")</f>
        <v/>
      </c>
      <c r="B46" s="495" t="str">
        <f>IF(AND(SUM(Studien!F54:G54)=2,Studien!H54&lt;&gt;0),Studien!B54,"")</f>
        <v/>
      </c>
      <c r="C46" s="497"/>
      <c r="D46" s="497"/>
      <c r="E46" s="497"/>
      <c r="F46" s="497"/>
      <c r="G46" s="497"/>
      <c r="H46" s="497"/>
      <c r="I46" s="497"/>
      <c r="J46" s="497"/>
      <c r="K46" s="497"/>
      <c r="L46" s="512" t="str">
        <f>IF(AND(SUM(Studien!F54:G54)=2,Studien!H54&lt;&gt;0),Studien!C54,"")</f>
        <v/>
      </c>
      <c r="M46" s="497"/>
    </row>
    <row r="47" spans="1:13" x14ac:dyDescent="0.2">
      <c r="A47" s="495" t="str">
        <f>IF(AND(SUM(Studien!F55:G55)=2,Studien!H55&lt;&gt;0),Studien!A55,"")</f>
        <v/>
      </c>
      <c r="B47" s="495" t="str">
        <f>IF(AND(SUM(Studien!F55:G55)=2,Studien!H55&lt;&gt;0),Studien!B55,"")</f>
        <v/>
      </c>
      <c r="C47" s="497"/>
      <c r="D47" s="497"/>
      <c r="E47" s="497"/>
      <c r="F47" s="497"/>
      <c r="G47" s="497"/>
      <c r="H47" s="497"/>
      <c r="I47" s="497"/>
      <c r="J47" s="497"/>
      <c r="K47" s="497"/>
      <c r="L47" s="512" t="str">
        <f>IF(AND(SUM(Studien!F55:G55)=2,Studien!H55&lt;&gt;0),Studien!C55,"")</f>
        <v/>
      </c>
      <c r="M47" s="497"/>
    </row>
    <row r="48" spans="1:13" x14ac:dyDescent="0.2">
      <c r="A48" s="495" t="str">
        <f>IF(AND(SUM(Studien!F56:G56)=2,Studien!H56&lt;&gt;0),Studien!A56,"")</f>
        <v/>
      </c>
      <c r="B48" s="495" t="str">
        <f>IF(AND(SUM(Studien!F56:G56)=2,Studien!H56&lt;&gt;0),Studien!B56,"")</f>
        <v/>
      </c>
      <c r="C48" s="497"/>
      <c r="D48" s="497"/>
      <c r="E48" s="497"/>
      <c r="F48" s="497"/>
      <c r="G48" s="497"/>
      <c r="H48" s="497"/>
      <c r="I48" s="497"/>
      <c r="J48" s="497"/>
      <c r="K48" s="497"/>
      <c r="L48" s="512" t="str">
        <f>IF(AND(SUM(Studien!F56:G56)=2,Studien!H56&lt;&gt;0),Studien!C56,"")</f>
        <v/>
      </c>
      <c r="M48" s="497"/>
    </row>
    <row r="49" spans="1:13" x14ac:dyDescent="0.2">
      <c r="A49" s="495" t="str">
        <f>IF(AND(SUM(Studien!F57:G57)=2,Studien!H57&lt;&gt;0),Studien!A57,"")</f>
        <v/>
      </c>
      <c r="B49" s="495" t="str">
        <f>IF(AND(SUM(Studien!F57:G57)=2,Studien!H57&lt;&gt;0),Studien!B57,"")</f>
        <v/>
      </c>
      <c r="C49" s="497"/>
      <c r="D49" s="497"/>
      <c r="E49" s="497"/>
      <c r="F49" s="497"/>
      <c r="G49" s="497"/>
      <c r="H49" s="497"/>
      <c r="I49" s="497"/>
      <c r="J49" s="497"/>
      <c r="K49" s="497"/>
      <c r="L49" s="512" t="str">
        <f>IF(AND(SUM(Studien!F57:G57)=2,Studien!H57&lt;&gt;0),Studien!C57,"")</f>
        <v/>
      </c>
      <c r="M49" s="497"/>
    </row>
    <row r="50" spans="1:13" x14ac:dyDescent="0.2">
      <c r="A50" s="495" t="str">
        <f>IF(AND(SUM(Studien!F58:G58)=2,Studien!H58&lt;&gt;0),Studien!A58,"")</f>
        <v/>
      </c>
      <c r="B50" s="495" t="str">
        <f>IF(AND(SUM(Studien!F58:G58)=2,Studien!H58&lt;&gt;0),Studien!B58,"")</f>
        <v/>
      </c>
      <c r="C50" s="497"/>
      <c r="D50" s="497"/>
      <c r="E50" s="497"/>
      <c r="F50" s="497"/>
      <c r="G50" s="497"/>
      <c r="H50" s="497"/>
      <c r="I50" s="497"/>
      <c r="J50" s="497"/>
      <c r="K50" s="497"/>
      <c r="L50" s="512" t="str">
        <f>IF(AND(SUM(Studien!F58:G58)=2,Studien!H58&lt;&gt;0),Studien!C58,"")</f>
        <v/>
      </c>
      <c r="M50" s="497"/>
    </row>
    <row r="51" spans="1:13" x14ac:dyDescent="0.2">
      <c r="A51" s="495" t="str">
        <f>IF(AND(SUM(Studien!F59:G59)=2,Studien!H59&lt;&gt;0),Studien!A59,"")</f>
        <v/>
      </c>
      <c r="B51" s="495" t="str">
        <f>IF(AND(SUM(Studien!F59:G59)=2,Studien!H59&lt;&gt;0),Studien!B59,"")</f>
        <v/>
      </c>
      <c r="C51" s="497"/>
      <c r="D51" s="497"/>
      <c r="E51" s="497"/>
      <c r="F51" s="497"/>
      <c r="G51" s="497"/>
      <c r="H51" s="497"/>
      <c r="I51" s="497"/>
      <c r="J51" s="497"/>
      <c r="K51" s="497"/>
      <c r="L51" s="512" t="str">
        <f>IF(AND(SUM(Studien!F59:G59)=2,Studien!H59&lt;&gt;0),Studien!C59,"")</f>
        <v/>
      </c>
      <c r="M51" s="49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7"/>
  <sheetViews>
    <sheetView showGridLines="0" zoomScaleNormal="100" workbookViewId="0">
      <pane ySplit="6" topLeftCell="A7" activePane="bottomLeft" state="frozen"/>
      <selection pane="bottomLeft" activeCell="A7" sqref="A7"/>
    </sheetView>
  </sheetViews>
  <sheetFormatPr baseColWidth="10" defaultColWidth="11.42578125" defaultRowHeight="15" x14ac:dyDescent="0.25"/>
  <cols>
    <col min="1" max="1" width="34.7109375" style="461" customWidth="1"/>
    <col min="2" max="2" width="17.5703125" style="461" customWidth="1"/>
    <col min="3" max="3" width="44.7109375" style="461" customWidth="1"/>
    <col min="4" max="4" width="13.85546875" style="461" customWidth="1"/>
    <col min="5" max="5" width="13.140625" style="461" customWidth="1"/>
    <col min="6" max="6" width="44.7109375" style="461" customWidth="1"/>
    <col min="7" max="7" width="11.42578125" style="461"/>
    <col min="8" max="8" width="11.42578125" style="461" hidden="1" customWidth="1"/>
    <col min="9" max="16384" width="11.42578125" style="461"/>
  </cols>
  <sheetData>
    <row r="1" spans="1:10" ht="8.25" customHeight="1" x14ac:dyDescent="0.25">
      <c r="A1" s="10"/>
      <c r="B1" s="10"/>
      <c r="C1" s="10"/>
      <c r="D1" s="10"/>
      <c r="E1" s="10"/>
      <c r="F1" s="10"/>
      <c r="G1" s="10"/>
      <c r="H1" s="10"/>
      <c r="I1" s="10"/>
      <c r="J1" s="10"/>
    </row>
    <row r="2" spans="1:10" x14ac:dyDescent="0.25">
      <c r="A2" s="241" t="str">
        <f>Basisdaten!A2</f>
        <v>Anlage EB Version M1.1 (Auditjahr 2025 / Kennzahlenjahr 2024)</v>
      </c>
      <c r="B2" s="10"/>
      <c r="C2" s="10"/>
      <c r="D2" s="10"/>
      <c r="E2" s="10"/>
      <c r="F2" s="10"/>
      <c r="G2" s="10"/>
      <c r="H2" s="10"/>
      <c r="I2" s="10"/>
      <c r="J2" s="10"/>
    </row>
    <row r="3" spans="1:10" ht="15.75" x14ac:dyDescent="0.25">
      <c r="A3" s="462" t="s">
        <v>1208</v>
      </c>
      <c r="B3" s="10"/>
      <c r="C3" s="10"/>
      <c r="D3" s="10"/>
      <c r="E3" s="10"/>
      <c r="F3" s="10"/>
      <c r="G3" s="10"/>
      <c r="H3" s="10"/>
      <c r="I3" s="10"/>
      <c r="J3" s="10"/>
    </row>
    <row r="4" spans="1:10" ht="15.75" customHeight="1" x14ac:dyDescent="0.25">
      <c r="A4" s="515" t="s">
        <v>1647</v>
      </c>
      <c r="B4" s="10"/>
      <c r="C4" s="10"/>
      <c r="D4" s="10"/>
      <c r="E4" s="10"/>
      <c r="F4" s="10"/>
      <c r="G4" s="10"/>
      <c r="H4" s="10"/>
      <c r="I4" s="10"/>
      <c r="J4" s="10"/>
    </row>
    <row r="5" spans="1:10" ht="9" customHeight="1" thickBot="1" x14ac:dyDescent="0.3"/>
    <row r="6" spans="1:10" ht="38.25" customHeight="1" thickBot="1" x14ac:dyDescent="0.3">
      <c r="A6" s="470" t="s">
        <v>1209</v>
      </c>
      <c r="B6" s="471" t="s">
        <v>1210</v>
      </c>
      <c r="C6" s="471" t="s">
        <v>1211</v>
      </c>
      <c r="D6" s="471" t="s">
        <v>1212</v>
      </c>
      <c r="E6" s="471" t="s">
        <v>1213</v>
      </c>
      <c r="F6" s="488" t="s">
        <v>1214</v>
      </c>
    </row>
    <row r="7" spans="1:10" ht="26.1" customHeight="1" x14ac:dyDescent="0.25">
      <c r="A7" s="489"/>
      <c r="B7" s="490"/>
      <c r="C7" s="491"/>
      <c r="D7" s="508"/>
      <c r="E7" s="511"/>
      <c r="F7" s="492"/>
      <c r="H7" s="119" t="s">
        <v>1229</v>
      </c>
    </row>
    <row r="8" spans="1:10" ht="26.1" customHeight="1" x14ac:dyDescent="0.25">
      <c r="A8" s="480"/>
      <c r="B8" s="473"/>
      <c r="C8" s="478"/>
      <c r="D8" s="509"/>
      <c r="E8" s="483"/>
      <c r="F8" s="475"/>
      <c r="H8" s="119" t="s">
        <v>1215</v>
      </c>
    </row>
    <row r="9" spans="1:10" ht="26.1" customHeight="1" x14ac:dyDescent="0.25">
      <c r="A9" s="480"/>
      <c r="B9" s="473"/>
      <c r="C9" s="478"/>
      <c r="D9" s="509"/>
      <c r="E9" s="483"/>
      <c r="F9" s="475"/>
      <c r="H9" s="119" t="s">
        <v>1216</v>
      </c>
    </row>
    <row r="10" spans="1:10" ht="26.1" customHeight="1" x14ac:dyDescent="0.25">
      <c r="A10" s="480"/>
      <c r="B10" s="473"/>
      <c r="C10" s="478"/>
      <c r="D10" s="509"/>
      <c r="E10" s="483"/>
      <c r="F10" s="475"/>
    </row>
    <row r="11" spans="1:10" ht="26.1" customHeight="1" x14ac:dyDescent="0.25">
      <c r="A11" s="480"/>
      <c r="B11" s="473"/>
      <c r="C11" s="478"/>
      <c r="D11" s="509"/>
      <c r="E11" s="483"/>
      <c r="F11" s="475"/>
    </row>
    <row r="12" spans="1:10" ht="26.1" customHeight="1" x14ac:dyDescent="0.25">
      <c r="A12" s="480"/>
      <c r="B12" s="473"/>
      <c r="C12" s="478"/>
      <c r="D12" s="509"/>
      <c r="E12" s="483"/>
      <c r="F12" s="475"/>
    </row>
    <row r="13" spans="1:10" ht="26.1" customHeight="1" x14ac:dyDescent="0.25">
      <c r="A13" s="480"/>
      <c r="B13" s="473"/>
      <c r="C13" s="478"/>
      <c r="D13" s="509"/>
      <c r="E13" s="483"/>
      <c r="F13" s="475"/>
    </row>
    <row r="14" spans="1:10" ht="26.1" customHeight="1" x14ac:dyDescent="0.25">
      <c r="A14" s="480"/>
      <c r="B14" s="473"/>
      <c r="C14" s="478"/>
      <c r="D14" s="509"/>
      <c r="E14" s="483"/>
      <c r="F14" s="475"/>
    </row>
    <row r="15" spans="1:10" ht="26.1" customHeight="1" x14ac:dyDescent="0.25">
      <c r="A15" s="480"/>
      <c r="B15" s="473"/>
      <c r="C15" s="478"/>
      <c r="D15" s="509"/>
      <c r="E15" s="483"/>
      <c r="F15" s="475"/>
    </row>
    <row r="16" spans="1:10" ht="26.1" customHeight="1" x14ac:dyDescent="0.25">
      <c r="A16" s="480"/>
      <c r="B16" s="473"/>
      <c r="C16" s="478"/>
      <c r="D16" s="509"/>
      <c r="E16" s="483"/>
      <c r="F16" s="475"/>
    </row>
    <row r="17" spans="1:6" ht="26.1" customHeight="1" x14ac:dyDescent="0.25">
      <c r="A17" s="480"/>
      <c r="B17" s="473"/>
      <c r="C17" s="478"/>
      <c r="D17" s="509"/>
      <c r="E17" s="483"/>
      <c r="F17" s="475"/>
    </row>
    <row r="18" spans="1:6" ht="26.1" customHeight="1" x14ac:dyDescent="0.25">
      <c r="A18" s="480"/>
      <c r="B18" s="473"/>
      <c r="C18" s="478"/>
      <c r="D18" s="509"/>
      <c r="E18" s="483"/>
      <c r="F18" s="475"/>
    </row>
    <row r="19" spans="1:6" ht="26.1" customHeight="1" x14ac:dyDescent="0.25">
      <c r="A19" s="480"/>
      <c r="B19" s="473"/>
      <c r="C19" s="478"/>
      <c r="D19" s="509"/>
      <c r="E19" s="483"/>
      <c r="F19" s="475"/>
    </row>
    <row r="20" spans="1:6" ht="26.1" customHeight="1" x14ac:dyDescent="0.25">
      <c r="A20" s="480"/>
      <c r="B20" s="473"/>
      <c r="C20" s="478"/>
      <c r="D20" s="509"/>
      <c r="E20" s="483"/>
      <c r="F20" s="475"/>
    </row>
    <row r="21" spans="1:6" ht="26.1" customHeight="1" x14ac:dyDescent="0.25">
      <c r="A21" s="480"/>
      <c r="B21" s="473"/>
      <c r="C21" s="478"/>
      <c r="D21" s="509"/>
      <c r="E21" s="483"/>
      <c r="F21" s="475"/>
    </row>
    <row r="22" spans="1:6" ht="26.1" customHeight="1" x14ac:dyDescent="0.25">
      <c r="A22" s="480"/>
      <c r="B22" s="473"/>
      <c r="C22" s="478"/>
      <c r="D22" s="509"/>
      <c r="E22" s="483"/>
      <c r="F22" s="475"/>
    </row>
    <row r="23" spans="1:6" ht="26.1" customHeight="1" thickBot="1" x14ac:dyDescent="0.3">
      <c r="A23" s="481"/>
      <c r="B23" s="474"/>
      <c r="C23" s="479"/>
      <c r="D23" s="510"/>
      <c r="E23" s="484"/>
      <c r="F23" s="476"/>
    </row>
    <row r="24" spans="1:6" ht="24.95" customHeight="1" thickBot="1" x14ac:dyDescent="0.3">
      <c r="D24" s="477" t="s">
        <v>1217</v>
      </c>
      <c r="E24" s="482">
        <f>SUM(E7:E23)</f>
        <v>0</v>
      </c>
    </row>
    <row r="25" spans="1:6" ht="6.75" customHeight="1" x14ac:dyDescent="0.25"/>
    <row r="26" spans="1:6" ht="15.75" customHeight="1" x14ac:dyDescent="0.25">
      <c r="A26" s="613"/>
      <c r="B26" s="613"/>
      <c r="C26" s="613"/>
    </row>
    <row r="27" spans="1:6" x14ac:dyDescent="0.25">
      <c r="A27" s="464"/>
    </row>
  </sheetData>
  <sheetProtection algorithmName="SHA-512" hashValue="ILDUjrmzMz3yzmXn258c4A1dU6+95V5mkRWUovV8ant/8OT2b1w1bxSetehCT6Wrw/WrhmTeP3k/XzlA/wRZYw==" saltValue="/b5ZGj6CktsmipTtLfGyVw==" spinCount="100000" sheet="1" objects="1" scenarios="1" selectLockedCells="1"/>
  <mergeCells count="1">
    <mergeCell ref="A26:C26"/>
  </mergeCells>
  <phoneticPr fontId="155" type="noConversion"/>
  <conditionalFormatting sqref="A7:B23">
    <cfRule type="expression" dxfId="153" priority="9" stopIfTrue="1">
      <formula>LEN(TRIM(A7))=0</formula>
    </cfRule>
  </conditionalFormatting>
  <conditionalFormatting sqref="C7:F23">
    <cfRule type="expression" dxfId="152" priority="3">
      <formula>LEN(TRIM(C7))=0</formula>
    </cfRule>
  </conditionalFormatting>
  <conditionalFormatting sqref="E7:E23">
    <cfRule type="expression" dxfId="151" priority="5">
      <formula>AND(B7="benannter Operateur",E7&lt;50)</formula>
    </cfRule>
    <cfRule type="expression" dxfId="150" priority="6">
      <formula>AND(B7="nicht benannter Operateur",E7&gt;=0)</formula>
    </cfRule>
  </conditionalFormatting>
  <conditionalFormatting sqref="F7:F23">
    <cfRule type="expression" dxfId="149" priority="1">
      <formula>AND($B7="benannter Operateur",$E7&gt;=50)</formula>
    </cfRule>
    <cfRule type="expression" dxfId="148" priority="2">
      <formula>AND($B7="Senior-Operateur",$E7&lt;&gt;"")</formula>
    </cfRule>
    <cfRule type="expression" dxfId="147" priority="4">
      <formula>AND($B7="nicht benannter Operateur",$E7&lt;&gt;"")</formula>
    </cfRule>
  </conditionalFormatting>
  <dataValidations count="4">
    <dataValidation type="list" allowBlank="1" showInputMessage="1" showErrorMessage="1" errorTitle="Hinweis" error="Auswahl treffen über Dropdown-Liste." sqref="B7:B23">
      <formula1>$H$7:$H$9</formula1>
    </dataValidation>
    <dataValidation type="whole" showInputMessage="1" showErrorMessage="1" errorTitle="Eingabefehler" error="Ganze Zahl zwischen 0 und 5000 eingeben." sqref="E7:E23">
      <formula1>0</formula1>
      <formula2>5000</formula2>
    </dataValidation>
    <dataValidation type="textLength" showInputMessage="1" showErrorMessage="1" errorTitle="Zeichenlänge" error="Nur Texteingabe bis 500 Zeichen möglich." sqref="F7:F23">
      <formula1>2</formula1>
      <formula2>500</formula2>
    </dataValidation>
    <dataValidation type="textLength" showInputMessage="1" showErrorMessage="1" errorTitle="Zeichenlänge" error="Nur Texteingabe bis 200 Zeichen möglich." sqref="C7:C23 A7:A23">
      <formula1>2</formula1>
      <formula2>200</formula2>
    </dataValidation>
  </dataValidations>
  <pageMargins left="0.25" right="0.25" top="0.75" bottom="0.75" header="0.3" footer="0.3"/>
  <pageSetup scale="61" orientation="portrait" horizontalDpi="4294967295" verticalDpi="4294967295" r:id="rId1"/>
  <headerFooter>
    <oddFooter xml:space="preserve">&amp;L&amp;"Arial,Regular"&amp;7&amp;F&amp;C&amp;"Arial,Regular"&amp;7 © DKG  Alle Rechte vorbehalten&amp;R&amp;"Arial,Regular"&amp;7&amp;P       </oddFooter>
  </headerFooter>
  <rowBreaks count="1" manualBreakCount="1">
    <brk id="23" max="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S98"/>
  <sheetViews>
    <sheetView showGridLines="0" showRuler="0" zoomScaleNormal="100" zoomScaleSheetLayoutView="100" workbookViewId="0">
      <selection activeCell="Q9" sqref="Q9:Q11"/>
    </sheetView>
  </sheetViews>
  <sheetFormatPr baseColWidth="10" defaultColWidth="11.42578125" defaultRowHeight="14.25" x14ac:dyDescent="0.2"/>
  <cols>
    <col min="1" max="1" width="6.28515625" style="1" customWidth="1"/>
    <col min="2" max="2" width="4.85546875" style="1" customWidth="1"/>
    <col min="3" max="3" width="15.7109375" style="1" customWidth="1"/>
    <col min="4" max="4" width="12.7109375" style="1" customWidth="1"/>
    <col min="5" max="5" width="11.7109375" style="1" customWidth="1"/>
    <col min="6" max="6" width="13.5703125" style="1" customWidth="1"/>
    <col min="7" max="7" width="10.85546875" style="1" customWidth="1"/>
    <col min="8" max="8" width="12.85546875" style="1" customWidth="1"/>
    <col min="9" max="9" width="8.42578125" style="1" customWidth="1"/>
    <col min="10" max="10" width="5.85546875" style="1" customWidth="1"/>
    <col min="11" max="11" width="4.28515625" style="1" customWidth="1"/>
    <col min="12" max="12" width="4.42578125" style="1" customWidth="1"/>
    <col min="13" max="13" width="5.7109375" style="1" customWidth="1"/>
    <col min="14" max="14" width="5.85546875" style="1" customWidth="1"/>
    <col min="15" max="15" width="8" style="3" customWidth="1"/>
    <col min="16" max="16" width="8.42578125" style="1" customWidth="1"/>
    <col min="17" max="18" width="73" style="1" customWidth="1"/>
    <col min="19" max="19" width="15.5703125" style="1" hidden="1" customWidth="1"/>
    <col min="20" max="256" width="9.140625" style="1" customWidth="1"/>
    <col min="257" max="16384" width="11.42578125" style="1"/>
  </cols>
  <sheetData>
    <row r="1" spans="1:18" ht="6.75" customHeight="1" x14ac:dyDescent="0.2">
      <c r="O1" s="1"/>
    </row>
    <row r="2" spans="1:18" ht="12.95" customHeight="1" x14ac:dyDescent="0.2">
      <c r="A2" s="241" t="str">
        <f>Basisdaten!A2</f>
        <v>Anlage EB Version M1.1 (Auditjahr 2025 / Kennzahlenjahr 2024)</v>
      </c>
      <c r="O2" s="1"/>
    </row>
    <row r="3" spans="1:18" ht="16.5" x14ac:dyDescent="0.25">
      <c r="A3" s="15" t="s">
        <v>596</v>
      </c>
      <c r="N3" s="16"/>
      <c r="O3" s="1"/>
    </row>
    <row r="4" spans="1:18" x14ac:dyDescent="0.2">
      <c r="N4" s="16"/>
      <c r="O4" s="1"/>
    </row>
    <row r="5" spans="1:18" ht="12" customHeight="1" x14ac:dyDescent="0.25">
      <c r="A5" s="22" t="s">
        <v>442</v>
      </c>
      <c r="C5" s="32" t="str">
        <f>IF(Basisdaten!C6=0,"",Basisdaten!C6)</f>
        <v/>
      </c>
      <c r="D5" s="455" t="s">
        <v>504</v>
      </c>
      <c r="E5" s="704" t="str">
        <f>IF(Basisdaten!C8=0,"",Basisdaten!C8)</f>
        <v/>
      </c>
      <c r="F5" s="705"/>
      <c r="G5" s="706"/>
      <c r="H5" s="706"/>
      <c r="I5" s="706"/>
      <c r="J5" s="706"/>
      <c r="K5" s="706"/>
      <c r="L5" s="706"/>
      <c r="M5" s="707"/>
      <c r="N5" s="16"/>
      <c r="O5" s="1"/>
    </row>
    <row r="6" spans="1:18" s="19" customFormat="1" ht="6.95" customHeight="1" thickBot="1" x14ac:dyDescent="0.25">
      <c r="A6" s="4"/>
      <c r="B6" s="4"/>
      <c r="C6" s="18"/>
      <c r="D6" s="7"/>
      <c r="E6" s="7"/>
      <c r="F6" s="7"/>
      <c r="G6" s="7"/>
      <c r="H6" s="7"/>
      <c r="I6" s="7"/>
      <c r="J6" s="7"/>
      <c r="K6" s="7"/>
      <c r="L6" s="7"/>
      <c r="M6" s="7"/>
      <c r="N6" s="16"/>
      <c r="O6" s="16"/>
      <c r="P6" s="14"/>
      <c r="Q6" s="16"/>
      <c r="R6" s="16"/>
    </row>
    <row r="7" spans="1:18" s="6" customFormat="1" ht="13.5" customHeight="1" thickBot="1" x14ac:dyDescent="0.3">
      <c r="A7" s="711" t="s">
        <v>874</v>
      </c>
      <c r="B7" s="711" t="s">
        <v>994</v>
      </c>
      <c r="C7" s="711" t="s">
        <v>594</v>
      </c>
      <c r="D7" s="716" t="s">
        <v>251</v>
      </c>
      <c r="E7" s="720"/>
      <c r="F7" s="716" t="s">
        <v>252</v>
      </c>
      <c r="G7" s="720"/>
      <c r="H7" s="708" t="s">
        <v>445</v>
      </c>
      <c r="I7" s="709"/>
      <c r="J7" s="723" t="s">
        <v>22</v>
      </c>
      <c r="K7" s="725" t="s">
        <v>253</v>
      </c>
      <c r="L7" s="726"/>
      <c r="M7" s="723" t="s">
        <v>22</v>
      </c>
      <c r="N7" s="716" t="s">
        <v>249</v>
      </c>
      <c r="O7" s="717"/>
      <c r="P7" s="711" t="s">
        <v>17</v>
      </c>
      <c r="Q7" s="727" t="s">
        <v>441</v>
      </c>
      <c r="R7" s="728"/>
    </row>
    <row r="8" spans="1:18" s="6" customFormat="1" ht="26.25" customHeight="1" thickBot="1" x14ac:dyDescent="0.3">
      <c r="A8" s="712"/>
      <c r="B8" s="712"/>
      <c r="C8" s="712"/>
      <c r="D8" s="721"/>
      <c r="E8" s="722"/>
      <c r="F8" s="721"/>
      <c r="G8" s="722"/>
      <c r="H8" s="710"/>
      <c r="I8" s="709"/>
      <c r="J8" s="724"/>
      <c r="K8" s="725"/>
      <c r="L8" s="726"/>
      <c r="M8" s="724"/>
      <c r="N8" s="718"/>
      <c r="O8" s="719"/>
      <c r="P8" s="731"/>
      <c r="Q8" s="155" t="s">
        <v>705</v>
      </c>
      <c r="R8" s="155" t="s">
        <v>658</v>
      </c>
    </row>
    <row r="9" spans="1:18" ht="27.75" customHeight="1" thickBot="1" x14ac:dyDescent="0.25">
      <c r="A9" s="733">
        <v>1</v>
      </c>
      <c r="B9" s="640"/>
      <c r="C9" s="713" t="s">
        <v>263</v>
      </c>
      <c r="D9" s="615" t="s">
        <v>268</v>
      </c>
      <c r="E9" s="616"/>
      <c r="F9" s="615" t="s">
        <v>1131</v>
      </c>
      <c r="G9" s="616"/>
      <c r="H9" s="688" t="s">
        <v>1194</v>
      </c>
      <c r="I9" s="622"/>
      <c r="J9" s="627"/>
      <c r="K9" s="698" t="s">
        <v>589</v>
      </c>
      <c r="L9" s="699"/>
      <c r="M9" s="627"/>
      <c r="N9" s="29" t="s">
        <v>252</v>
      </c>
      <c r="O9" s="49"/>
      <c r="P9" s="638" t="str">
        <f>IF(O11=Berechnung1!D41,Berechnung1!$F$5,IF(OR(O11&lt; Berechnung1!E41,O11&gt; Berechnung1!F41),Berechnung1!$G$5,IF(OR(ROUND(O11,4)&lt;Berechnung1!J41,ROUND(O11,4)&gt;Berechnung1!K41),Berechnung1!$D$5,IF(OR(ROUND(O11,4)&lt;Berechnung1!G41,ROUND(O11,4)&gt;Berechnung1!H41),Berechnung1!$E$5,Berechnung1!$C$5))))</f>
        <v>Unvollständig</v>
      </c>
      <c r="Q9" s="677"/>
      <c r="R9" s="680"/>
    </row>
    <row r="10" spans="1:18" ht="27.75" customHeight="1" thickBot="1" x14ac:dyDescent="0.25">
      <c r="A10" s="733"/>
      <c r="B10" s="641"/>
      <c r="C10" s="714"/>
      <c r="D10" s="617"/>
      <c r="E10" s="618"/>
      <c r="F10" s="617"/>
      <c r="G10" s="618"/>
      <c r="H10" s="623"/>
      <c r="I10" s="624"/>
      <c r="J10" s="628"/>
      <c r="K10" s="700"/>
      <c r="L10" s="701"/>
      <c r="M10" s="628"/>
      <c r="N10" s="29" t="s">
        <v>254</v>
      </c>
      <c r="O10" s="30">
        <f>IF(Basisdaten!$L$33="",0,Basisdaten!$L$33)</f>
        <v>0</v>
      </c>
      <c r="P10" s="638"/>
      <c r="Q10" s="681"/>
      <c r="R10" s="681"/>
    </row>
    <row r="11" spans="1:18" ht="27.75" customHeight="1" thickBot="1" x14ac:dyDescent="0.25">
      <c r="A11" s="733"/>
      <c r="B11" s="642"/>
      <c r="C11" s="715"/>
      <c r="D11" s="619"/>
      <c r="E11" s="620"/>
      <c r="F11" s="619"/>
      <c r="G11" s="620"/>
      <c r="H11" s="625"/>
      <c r="I11" s="626"/>
      <c r="J11" s="629"/>
      <c r="K11" s="702"/>
      <c r="L11" s="703"/>
      <c r="M11" s="629"/>
      <c r="N11" s="29" t="s">
        <v>255</v>
      </c>
      <c r="O11" s="172" t="str">
        <f>IF(O9="","n.d.",IF(O10="","n.d.",IF(O10=0,"",O9/O10)))</f>
        <v>n.d.</v>
      </c>
      <c r="P11" s="638"/>
      <c r="Q11" s="681"/>
      <c r="R11" s="681"/>
    </row>
    <row r="12" spans="1:18" ht="29.25" customHeight="1" thickBot="1" x14ac:dyDescent="0.25">
      <c r="A12" s="733">
        <v>2</v>
      </c>
      <c r="B12" s="640" t="s">
        <v>1191</v>
      </c>
      <c r="C12" s="713" t="s">
        <v>264</v>
      </c>
      <c r="D12" s="615" t="s">
        <v>269</v>
      </c>
      <c r="E12" s="616"/>
      <c r="F12" s="615" t="s">
        <v>926</v>
      </c>
      <c r="G12" s="616"/>
      <c r="H12" s="688" t="s">
        <v>257</v>
      </c>
      <c r="I12" s="622"/>
      <c r="J12" s="732"/>
      <c r="K12" s="698" t="s">
        <v>807</v>
      </c>
      <c r="L12" s="699"/>
      <c r="M12" s="734"/>
      <c r="N12" s="29" t="s">
        <v>252</v>
      </c>
      <c r="O12" s="49"/>
      <c r="P12" s="638" t="str">
        <f>IF(O14=Berechnung1!D44,Berechnung1!$F$5,IF(OR(O14&lt; Berechnung1!E44,O14&gt; Berechnung1!F44),Berechnung1!$G$5,IF(OR(ROUND(O14,4)&lt;Berechnung1!J44,ROUND(O14,4)&gt;Berechnung1!K44),Berechnung1!$D$5,IF(OR(ROUND(O14,4)&lt;Berechnung1!G44,ROUND(O14,4)&gt;Berechnung1!H44),Berechnung1!$E$5,Berechnung1!$C$5))))</f>
        <v>Unvollständig</v>
      </c>
      <c r="Q12" s="729"/>
      <c r="R12" s="680"/>
    </row>
    <row r="13" spans="1:18" ht="29.25" customHeight="1" thickBot="1" x14ac:dyDescent="0.25">
      <c r="A13" s="733"/>
      <c r="B13" s="641"/>
      <c r="C13" s="714"/>
      <c r="D13" s="617"/>
      <c r="E13" s="618"/>
      <c r="F13" s="617"/>
      <c r="G13" s="618"/>
      <c r="H13" s="623"/>
      <c r="I13" s="624"/>
      <c r="J13" s="628"/>
      <c r="K13" s="700"/>
      <c r="L13" s="701"/>
      <c r="M13" s="628"/>
      <c r="N13" s="29" t="s">
        <v>254</v>
      </c>
      <c r="O13" s="30">
        <f>IF(Basisdaten!$L$30 = "",0,Basisdaten!$L$30)</f>
        <v>0</v>
      </c>
      <c r="P13" s="638"/>
      <c r="Q13" s="730"/>
      <c r="R13" s="681"/>
    </row>
    <row r="14" spans="1:18" ht="29.25" customHeight="1" thickBot="1" x14ac:dyDescent="0.25">
      <c r="A14" s="733"/>
      <c r="B14" s="642"/>
      <c r="C14" s="715"/>
      <c r="D14" s="619"/>
      <c r="E14" s="620"/>
      <c r="F14" s="619"/>
      <c r="G14" s="620"/>
      <c r="H14" s="625"/>
      <c r="I14" s="626"/>
      <c r="J14" s="629"/>
      <c r="K14" s="702"/>
      <c r="L14" s="703"/>
      <c r="M14" s="629"/>
      <c r="N14" s="29" t="s">
        <v>255</v>
      </c>
      <c r="O14" s="172" t="str">
        <f>IF(O12="","n.d.",IF(O13="","n.d.",IF(O13=0,"",O12/O13)))</f>
        <v>n.d.</v>
      </c>
      <c r="P14" s="638"/>
      <c r="Q14" s="730"/>
      <c r="R14" s="681"/>
    </row>
    <row r="15" spans="1:18" ht="30" customHeight="1" thickBot="1" x14ac:dyDescent="0.25">
      <c r="A15" s="733">
        <v>3</v>
      </c>
      <c r="B15" s="640"/>
      <c r="C15" s="713" t="s">
        <v>652</v>
      </c>
      <c r="D15" s="615" t="s">
        <v>1038</v>
      </c>
      <c r="E15" s="616"/>
      <c r="F15" s="615" t="s">
        <v>1039</v>
      </c>
      <c r="G15" s="616"/>
      <c r="H15" s="621" t="s">
        <v>1237</v>
      </c>
      <c r="I15" s="622"/>
      <c r="J15" s="627" t="s">
        <v>745</v>
      </c>
      <c r="K15" s="698" t="s">
        <v>734</v>
      </c>
      <c r="L15" s="699"/>
      <c r="M15" s="734"/>
      <c r="N15" s="29" t="s">
        <v>252</v>
      </c>
      <c r="O15" s="231"/>
      <c r="P15" s="638" t="str">
        <f>IF(AND(O15&lt;&gt;"",O16&lt;&gt;"",O15=0,O16=0),Berechnung1!$H$5,IF(O17=Berechnung1!D47,Berechnung1!$F$5,IF(OR(O17&lt;Berechnung1!E47,O17&gt;Berechnung1!F47),Berechnung1!$G$5,IF(OR(ROUND(O17,4)&lt;Berechnung1!J47,ROUND(O17,4)&gt;Berechnung1!K47),Berechnung1!$D$5,IF(OR(ROUND(O17,4)&lt;Berechnung1!G47,ROUND(O17,4)&gt;Berechnung1!H47),Berechnung1!$E$5,Berechnung1!$C$5)))))</f>
        <v>Unvollständig</v>
      </c>
      <c r="Q15" s="680"/>
      <c r="R15" s="680"/>
    </row>
    <row r="16" spans="1:18" ht="30" customHeight="1" thickBot="1" x14ac:dyDescent="0.25">
      <c r="A16" s="733"/>
      <c r="B16" s="641"/>
      <c r="C16" s="714"/>
      <c r="D16" s="617"/>
      <c r="E16" s="618"/>
      <c r="F16" s="617"/>
      <c r="G16" s="618"/>
      <c r="H16" s="623"/>
      <c r="I16" s="624"/>
      <c r="J16" s="628"/>
      <c r="K16" s="700"/>
      <c r="L16" s="701"/>
      <c r="M16" s="628"/>
      <c r="N16" s="29" t="s">
        <v>254</v>
      </c>
      <c r="O16" s="231"/>
      <c r="P16" s="638"/>
      <c r="Q16" s="681"/>
      <c r="R16" s="678"/>
    </row>
    <row r="17" spans="1:19" ht="30" customHeight="1" thickBot="1" x14ac:dyDescent="0.25">
      <c r="A17" s="733"/>
      <c r="B17" s="642"/>
      <c r="C17" s="715"/>
      <c r="D17" s="619"/>
      <c r="E17" s="620"/>
      <c r="F17" s="619"/>
      <c r="G17" s="620"/>
      <c r="H17" s="625"/>
      <c r="I17" s="626"/>
      <c r="J17" s="629"/>
      <c r="K17" s="702"/>
      <c r="L17" s="703"/>
      <c r="M17" s="629"/>
      <c r="N17" s="29" t="s">
        <v>255</v>
      </c>
      <c r="O17" s="172" t="str">
        <f>IF(O15="","n.d.",IF(O16="","n.d.",IF(O16=0,"",O15/O16)))</f>
        <v>n.d.</v>
      </c>
      <c r="P17" s="638"/>
      <c r="Q17" s="681"/>
      <c r="R17" s="679"/>
    </row>
    <row r="18" spans="1:19" ht="30" customHeight="1" thickBot="1" x14ac:dyDescent="0.25">
      <c r="A18" s="741" t="s">
        <v>836</v>
      </c>
      <c r="B18" s="655" t="s">
        <v>995</v>
      </c>
      <c r="C18" s="713" t="s">
        <v>837</v>
      </c>
      <c r="D18" s="645" t="s">
        <v>847</v>
      </c>
      <c r="E18" s="646"/>
      <c r="F18" s="645" t="s">
        <v>1132</v>
      </c>
      <c r="G18" s="646"/>
      <c r="H18" s="645" t="s">
        <v>848</v>
      </c>
      <c r="I18" s="652"/>
      <c r="J18" s="734"/>
      <c r="K18" s="698" t="s">
        <v>605</v>
      </c>
      <c r="L18" s="699"/>
      <c r="M18" s="627"/>
      <c r="N18" s="11" t="s">
        <v>252</v>
      </c>
      <c r="O18" s="49"/>
      <c r="P18" s="638" t="str">
        <f>IF(O20=Berechnung1!D50,Berechnung1!$F$5,IF(OR(O20&lt; Berechnung1!E50,O20&gt; Berechnung1!F50),Berechnung1!$G$5,IF(OR(ROUND(O20,4)&lt;Berechnung1!J50,ROUND(O20,4)&gt;Berechnung1!K50),Berechnung1!$D$5,IF(OR(ROUND(O20,4)&lt;Berechnung1!G50,ROUND(O20,4)&gt;Berechnung1!H50),Berechnung1!$E$5,Berechnung1!$C$5))))</f>
        <v>Unvollständig</v>
      </c>
      <c r="Q18" s="680"/>
      <c r="R18" s="680"/>
    </row>
    <row r="19" spans="1:19" ht="30" customHeight="1" thickBot="1" x14ac:dyDescent="0.25">
      <c r="A19" s="741"/>
      <c r="B19" s="656"/>
      <c r="C19" s="714" t="s">
        <v>270</v>
      </c>
      <c r="D19" s="647"/>
      <c r="E19" s="648"/>
      <c r="F19" s="647"/>
      <c r="G19" s="648"/>
      <c r="H19" s="647"/>
      <c r="I19" s="653"/>
      <c r="J19" s="628"/>
      <c r="K19" s="700"/>
      <c r="L19" s="701"/>
      <c r="M19" s="628"/>
      <c r="N19" s="29" t="s">
        <v>254</v>
      </c>
      <c r="O19" s="30">
        <f>IF(S19="",0,S19)</f>
        <v>0</v>
      </c>
      <c r="P19" s="638"/>
      <c r="Q19" s="681"/>
      <c r="R19" s="678"/>
      <c r="S19" s="347">
        <f>SUM(Basisdaten!E34:I34)</f>
        <v>0</v>
      </c>
    </row>
    <row r="20" spans="1:19" ht="30" customHeight="1" thickBot="1" x14ac:dyDescent="0.25">
      <c r="A20" s="741"/>
      <c r="B20" s="657"/>
      <c r="C20" s="715"/>
      <c r="D20" s="649"/>
      <c r="E20" s="650"/>
      <c r="F20" s="649"/>
      <c r="G20" s="650"/>
      <c r="H20" s="649"/>
      <c r="I20" s="654"/>
      <c r="J20" s="629"/>
      <c r="K20" s="702"/>
      <c r="L20" s="703"/>
      <c r="M20" s="629"/>
      <c r="N20" s="29" t="s">
        <v>255</v>
      </c>
      <c r="O20" s="172" t="str">
        <f>IF(O18="","n.d.",IF(O19="","n.d.",IF(O19=0,"",O18/O19)))</f>
        <v>n.d.</v>
      </c>
      <c r="P20" s="638"/>
      <c r="Q20" s="681"/>
      <c r="R20" s="679"/>
    </row>
    <row r="21" spans="1:19" ht="30" customHeight="1" thickBot="1" x14ac:dyDescent="0.25">
      <c r="A21" s="762" t="s">
        <v>838</v>
      </c>
      <c r="B21" s="742"/>
      <c r="C21" s="764" t="s">
        <v>839</v>
      </c>
      <c r="D21" s="735" t="s">
        <v>840</v>
      </c>
      <c r="E21" s="736"/>
      <c r="F21" s="645" t="s">
        <v>927</v>
      </c>
      <c r="G21" s="736"/>
      <c r="H21" s="745" t="s">
        <v>710</v>
      </c>
      <c r="I21" s="746"/>
      <c r="J21" s="627" t="s">
        <v>806</v>
      </c>
      <c r="K21" s="698" t="s">
        <v>835</v>
      </c>
      <c r="L21" s="699"/>
      <c r="M21" s="751"/>
      <c r="N21" s="29" t="s">
        <v>252</v>
      </c>
      <c r="O21" s="49"/>
      <c r="P21" s="638" t="str">
        <f>IF(AND(O21&lt;&gt;"",O22&lt;&gt;"",O21=0,O22=0),Berechnung1!$H$5,IF(O23=Berechnung1!D53,Berechnung1!$F$5,IF(OR(O23&lt; Berechnung1!E53,O23&gt; Berechnung1!F53),Berechnung1!$G$5,IF(OR(ROUND(O23,4)&lt;Berechnung1!J53,ROUND(O23,4)&gt;Berechnung1!K53),Berechnung1!$D$5,IF(OR(ROUND(O23,4)&lt;Berechnung1!G53,ROUND(O23,4)&gt;Berechnung1!H53),Berechnung1!$E$5,Berechnung1!$C$5)))))</f>
        <v>Unvollständig</v>
      </c>
      <c r="Q21" s="677"/>
      <c r="R21" s="680"/>
    </row>
    <row r="22" spans="1:19" ht="30" customHeight="1" thickBot="1" x14ac:dyDescent="0.25">
      <c r="A22" s="763"/>
      <c r="B22" s="743"/>
      <c r="C22" s="765" t="s">
        <v>270</v>
      </c>
      <c r="D22" s="737"/>
      <c r="E22" s="738"/>
      <c r="F22" s="647"/>
      <c r="G22" s="738"/>
      <c r="H22" s="747"/>
      <c r="I22" s="748"/>
      <c r="J22" s="628"/>
      <c r="K22" s="700"/>
      <c r="L22" s="701"/>
      <c r="M22" s="752"/>
      <c r="N22" s="29" t="s">
        <v>254</v>
      </c>
      <c r="O22" s="49"/>
      <c r="P22" s="638"/>
      <c r="Q22" s="681"/>
      <c r="R22" s="681"/>
      <c r="S22" s="1">
        <f>IF(Basisdaten!L34="",0,Basisdaten!L34)</f>
        <v>0</v>
      </c>
    </row>
    <row r="23" spans="1:19" ht="30" customHeight="1" thickBot="1" x14ac:dyDescent="0.25">
      <c r="A23" s="763"/>
      <c r="B23" s="744"/>
      <c r="C23" s="766"/>
      <c r="D23" s="739"/>
      <c r="E23" s="740"/>
      <c r="F23" s="649"/>
      <c r="G23" s="740"/>
      <c r="H23" s="749"/>
      <c r="I23" s="750"/>
      <c r="J23" s="629"/>
      <c r="K23" s="702"/>
      <c r="L23" s="703"/>
      <c r="M23" s="753"/>
      <c r="N23" s="29" t="s">
        <v>255</v>
      </c>
      <c r="O23" s="172" t="str">
        <f>IF(O21="","n.d.",IF(O22="","n.d.",IF(O22=0,"",O21/O22)))</f>
        <v>n.d.</v>
      </c>
      <c r="P23" s="638"/>
      <c r="Q23" s="681"/>
      <c r="R23" s="681"/>
    </row>
    <row r="24" spans="1:19" ht="30" customHeight="1" thickBot="1" x14ac:dyDescent="0.25">
      <c r="A24" s="639">
        <v>6</v>
      </c>
      <c r="B24" s="742"/>
      <c r="C24" s="764" t="s">
        <v>1248</v>
      </c>
      <c r="D24" s="735" t="s">
        <v>1249</v>
      </c>
      <c r="E24" s="736"/>
      <c r="F24" s="645" t="s">
        <v>1149</v>
      </c>
      <c r="G24" s="736"/>
      <c r="H24" s="745" t="s">
        <v>1250</v>
      </c>
      <c r="I24" s="746"/>
      <c r="J24" s="754" t="s">
        <v>1048</v>
      </c>
      <c r="K24" s="756" t="s">
        <v>734</v>
      </c>
      <c r="L24" s="757"/>
      <c r="M24" s="755"/>
      <c r="N24" s="29" t="s">
        <v>252</v>
      </c>
      <c r="O24" s="49"/>
      <c r="P24" s="638" t="str">
        <f>IF(O26=Berechnung1!D56,Berechnung1!$F$5,IF(OR(O26&lt; Berechnung1!E56,O26&gt; Berechnung1!F56),Berechnung1!$G$5,IF(OR(ROUND(O26,4)&lt;Berechnung1!J56,ROUND(O26,4)&gt;Berechnung1!K56),Berechnung1!$D$5,IF(OR(ROUND(O26,4)&lt;Berechnung1!G56,ROUND(O26,4)&gt;Berechnung1!H56),Berechnung1!$E$5,Berechnung1!$C$5))))</f>
        <v>Unvollständig</v>
      </c>
      <c r="Q24" s="677"/>
      <c r="R24" s="680"/>
    </row>
    <row r="25" spans="1:19" ht="30" customHeight="1" thickBot="1" x14ac:dyDescent="0.25">
      <c r="A25" s="639"/>
      <c r="B25" s="743"/>
      <c r="C25" s="765"/>
      <c r="D25" s="737"/>
      <c r="E25" s="738"/>
      <c r="F25" s="647"/>
      <c r="G25" s="738"/>
      <c r="H25" s="747"/>
      <c r="I25" s="748"/>
      <c r="J25" s="752"/>
      <c r="K25" s="758"/>
      <c r="L25" s="759"/>
      <c r="M25" s="752"/>
      <c r="N25" s="29" t="s">
        <v>254</v>
      </c>
      <c r="O25" s="49"/>
      <c r="P25" s="638"/>
      <c r="Q25" s="681"/>
      <c r="R25" s="681"/>
      <c r="S25" s="1">
        <f>Basisdaten!I30+Basisdaten!K30</f>
        <v>0</v>
      </c>
    </row>
    <row r="26" spans="1:19" ht="30" customHeight="1" thickBot="1" x14ac:dyDescent="0.25">
      <c r="A26" s="639"/>
      <c r="B26" s="744"/>
      <c r="C26" s="766"/>
      <c r="D26" s="739"/>
      <c r="E26" s="740"/>
      <c r="F26" s="649"/>
      <c r="G26" s="740"/>
      <c r="H26" s="749"/>
      <c r="I26" s="750"/>
      <c r="J26" s="753"/>
      <c r="K26" s="760"/>
      <c r="L26" s="761"/>
      <c r="M26" s="753"/>
      <c r="N26" s="29" t="s">
        <v>255</v>
      </c>
      <c r="O26" s="172" t="str">
        <f>IF(O24="","n.d.",IF(O25="","n.d.",IF(O25=0,"",O24/O25)))</f>
        <v>n.d.</v>
      </c>
      <c r="P26" s="638"/>
      <c r="Q26" s="681"/>
      <c r="R26" s="681"/>
    </row>
    <row r="27" spans="1:19" ht="30" customHeight="1" thickBot="1" x14ac:dyDescent="0.25">
      <c r="A27" s="639">
        <v>7</v>
      </c>
      <c r="B27" s="655" t="s">
        <v>995</v>
      </c>
      <c r="C27" s="768" t="s">
        <v>849</v>
      </c>
      <c r="D27" s="767" t="s">
        <v>600</v>
      </c>
      <c r="E27" s="736"/>
      <c r="F27" s="645" t="s">
        <v>1150</v>
      </c>
      <c r="G27" s="736"/>
      <c r="H27" s="745" t="s">
        <v>702</v>
      </c>
      <c r="I27" s="746"/>
      <c r="J27" s="751"/>
      <c r="K27" s="756" t="s">
        <v>589</v>
      </c>
      <c r="L27" s="757"/>
      <c r="M27" s="755"/>
      <c r="N27" s="29" t="s">
        <v>252</v>
      </c>
      <c r="O27" s="49"/>
      <c r="P27" s="638" t="str">
        <f>IF(O29=Berechnung1!D59,Berechnung1!$F$5,IF(OR(O29&lt; Berechnung1!E59,O29&gt; Berechnung1!F59),Berechnung1!$G$5,IF(OR(ROUND(O29,4)&lt;Berechnung1!J59,ROUND(O29,4)&gt;Berechnung1!K59),Berechnung1!$D$5,IF(OR(ROUND(O29,4)&lt;Berechnung1!G59,ROUND(O29,4)&gt;Berechnung1!H59),Berechnung1!$E$5,Berechnung1!$C$5))))</f>
        <v>Unvollständig</v>
      </c>
      <c r="Q27" s="677"/>
      <c r="R27" s="680"/>
    </row>
    <row r="28" spans="1:19" ht="30" customHeight="1" thickBot="1" x14ac:dyDescent="0.25">
      <c r="A28" s="639"/>
      <c r="B28" s="656"/>
      <c r="C28" s="768" t="s">
        <v>270</v>
      </c>
      <c r="D28" s="737"/>
      <c r="E28" s="738"/>
      <c r="F28" s="647"/>
      <c r="G28" s="738"/>
      <c r="H28" s="747"/>
      <c r="I28" s="748"/>
      <c r="J28" s="752"/>
      <c r="K28" s="758"/>
      <c r="L28" s="759"/>
      <c r="M28" s="752"/>
      <c r="N28" s="29" t="s">
        <v>254</v>
      </c>
      <c r="O28" s="49"/>
      <c r="P28" s="638"/>
      <c r="Q28" s="681"/>
      <c r="R28" s="681"/>
      <c r="S28" s="1">
        <f>SUM(Basisdaten!E30:I30)+Basisdaten!K30</f>
        <v>0</v>
      </c>
    </row>
    <row r="29" spans="1:19" ht="30" customHeight="1" thickBot="1" x14ac:dyDescent="0.25">
      <c r="A29" s="639"/>
      <c r="B29" s="657"/>
      <c r="C29" s="768"/>
      <c r="D29" s="739"/>
      <c r="E29" s="740"/>
      <c r="F29" s="649"/>
      <c r="G29" s="740"/>
      <c r="H29" s="749"/>
      <c r="I29" s="750"/>
      <c r="J29" s="753"/>
      <c r="K29" s="760"/>
      <c r="L29" s="761"/>
      <c r="M29" s="753"/>
      <c r="N29" s="29" t="s">
        <v>255</v>
      </c>
      <c r="O29" s="172" t="str">
        <f>IF(O27="","n.d.",IF(O28="","n.d.",IF(O28=0,"",O27/O28)))</f>
        <v>n.d.</v>
      </c>
      <c r="P29" s="638"/>
      <c r="Q29" s="681"/>
      <c r="R29" s="681"/>
    </row>
    <row r="30" spans="1:19" ht="30" customHeight="1" thickBot="1" x14ac:dyDescent="0.25">
      <c r="A30" s="639">
        <v>8</v>
      </c>
      <c r="B30" s="655" t="s">
        <v>995</v>
      </c>
      <c r="C30" s="643" t="s">
        <v>841</v>
      </c>
      <c r="D30" s="615" t="s">
        <v>928</v>
      </c>
      <c r="E30" s="685"/>
      <c r="F30" s="645" t="s">
        <v>1151</v>
      </c>
      <c r="G30" s="646"/>
      <c r="H30" s="688" t="s">
        <v>1036</v>
      </c>
      <c r="I30" s="689"/>
      <c r="J30" s="627"/>
      <c r="K30" s="698" t="s">
        <v>589</v>
      </c>
      <c r="L30" s="699"/>
      <c r="M30" s="627"/>
      <c r="N30" s="29" t="s">
        <v>252</v>
      </c>
      <c r="O30" s="49"/>
      <c r="P30" s="638" t="str">
        <f>IF(AND(O30&lt;&gt;"",O31&lt;&gt;"",O30=0,O31=0),Berechnung1!$H$5,IF(O32=Berechnung1!D62,Berechnung1!$F$5,IF(OR(O32&lt; Berechnung1!E62,O32&gt; Berechnung1!F62),Berechnung1!$G$5,IF(OR(ROUND(O32,4)&lt;Berechnung1!J62,ROUND(O32,4)&gt;Berechnung1!K62),Berechnung1!$D$5,IF(OR(ROUND(O32,4)&lt;Berechnung1!G62,ROUND(O32,4)&gt;Berechnung1!H62),Berechnung1!$E$5,Berechnung1!$C$5)))))</f>
        <v>Unvollständig</v>
      </c>
      <c r="Q30" s="677"/>
      <c r="R30" s="680"/>
    </row>
    <row r="31" spans="1:19" ht="30" customHeight="1" thickBot="1" x14ac:dyDescent="0.25">
      <c r="A31" s="639"/>
      <c r="B31" s="656"/>
      <c r="C31" s="643"/>
      <c r="D31" s="617"/>
      <c r="E31" s="686"/>
      <c r="F31" s="647"/>
      <c r="G31" s="648"/>
      <c r="H31" s="623"/>
      <c r="I31" s="690"/>
      <c r="J31" s="628"/>
      <c r="K31" s="700"/>
      <c r="L31" s="701"/>
      <c r="M31" s="628"/>
      <c r="N31" s="29" t="s">
        <v>254</v>
      </c>
      <c r="O31" s="49"/>
      <c r="P31" s="638"/>
      <c r="Q31" s="681"/>
      <c r="R31" s="681"/>
      <c r="S31" s="1">
        <f>SUM(Basisdaten!E30:I30)+Basisdaten!K30</f>
        <v>0</v>
      </c>
    </row>
    <row r="32" spans="1:19" ht="30" customHeight="1" thickBot="1" x14ac:dyDescent="0.25">
      <c r="A32" s="639"/>
      <c r="B32" s="657"/>
      <c r="C32" s="643"/>
      <c r="D32" s="619"/>
      <c r="E32" s="687"/>
      <c r="F32" s="649"/>
      <c r="G32" s="650"/>
      <c r="H32" s="625"/>
      <c r="I32" s="691"/>
      <c r="J32" s="629"/>
      <c r="K32" s="702"/>
      <c r="L32" s="703"/>
      <c r="M32" s="629"/>
      <c r="N32" s="29" t="s">
        <v>255</v>
      </c>
      <c r="O32" s="172" t="str">
        <f>IF(O30="","n.d.",IF(O31="","n.d.",IF(O31=0,"",O30/O31)))</f>
        <v>n.d.</v>
      </c>
      <c r="P32" s="638"/>
      <c r="Q32" s="681"/>
      <c r="R32" s="681"/>
    </row>
    <row r="33" spans="1:18" s="41" customFormat="1" ht="30" customHeight="1" thickBot="1" x14ac:dyDescent="0.25">
      <c r="A33" s="639">
        <v>9</v>
      </c>
      <c r="B33" s="640" t="s">
        <v>995</v>
      </c>
      <c r="C33" s="713" t="s">
        <v>46</v>
      </c>
      <c r="D33" s="615" t="s">
        <v>601</v>
      </c>
      <c r="E33" s="685"/>
      <c r="F33" s="645" t="s">
        <v>1040</v>
      </c>
      <c r="G33" s="646"/>
      <c r="H33" s="772" t="s">
        <v>1041</v>
      </c>
      <c r="I33" s="652"/>
      <c r="J33" s="627"/>
      <c r="K33" s="698" t="s">
        <v>589</v>
      </c>
      <c r="L33" s="699"/>
      <c r="M33" s="627"/>
      <c r="N33" s="150" t="s">
        <v>252</v>
      </c>
      <c r="O33" s="151"/>
      <c r="P33" s="638" t="str">
        <f>IF(AND(O33&lt;&gt;"",O34&lt;&gt;"",O33=0,O34=0),Berechnung1!$H$5,IF(O35=Berechnung1!D65,Berechnung1!$F$5,IF(OR(O35&lt; Berechnung1!E65,O35&gt; Berechnung1!F65),Berechnung1!$G$5,IF(OR(ROUND(O35,4)&lt;Berechnung1!J65,ROUND(O35,4)&gt;Berechnung1!K65),Berechnung1!$D$5,IF(OR(ROUND(O35,4)&lt;Berechnung1!G65,ROUND(O35,4)&gt;Berechnung1!H65),Berechnung1!$E$5,Berechnung1!$C$5)))))</f>
        <v>Unvollständig</v>
      </c>
      <c r="Q33" s="677"/>
      <c r="R33" s="680"/>
    </row>
    <row r="34" spans="1:18" s="40" customFormat="1" ht="30" customHeight="1" thickBot="1" x14ac:dyDescent="0.25">
      <c r="A34" s="639"/>
      <c r="B34" s="641"/>
      <c r="C34" s="714"/>
      <c r="D34" s="617"/>
      <c r="E34" s="686"/>
      <c r="F34" s="647"/>
      <c r="G34" s="648"/>
      <c r="H34" s="773"/>
      <c r="I34" s="653"/>
      <c r="J34" s="628"/>
      <c r="K34" s="700"/>
      <c r="L34" s="701"/>
      <c r="M34" s="628"/>
      <c r="N34" s="150" t="s">
        <v>254</v>
      </c>
      <c r="O34" s="151"/>
      <c r="P34" s="638"/>
      <c r="Q34" s="681"/>
      <c r="R34" s="681"/>
    </row>
    <row r="35" spans="1:18" s="40" customFormat="1" ht="30" customHeight="1" thickBot="1" x14ac:dyDescent="0.25">
      <c r="A35" s="639"/>
      <c r="B35" s="642"/>
      <c r="C35" s="715"/>
      <c r="D35" s="619"/>
      <c r="E35" s="687"/>
      <c r="F35" s="649"/>
      <c r="G35" s="650"/>
      <c r="H35" s="774"/>
      <c r="I35" s="654"/>
      <c r="J35" s="629"/>
      <c r="K35" s="702"/>
      <c r="L35" s="703"/>
      <c r="M35" s="629"/>
      <c r="N35" s="150" t="s">
        <v>255</v>
      </c>
      <c r="O35" s="172" t="str">
        <f>IF(O33="","n.d.",IF(O34="","n.d.",IF(O34=0,"",O33/O34)))</f>
        <v>n.d.</v>
      </c>
      <c r="P35" s="638"/>
      <c r="Q35" s="681"/>
      <c r="R35" s="681"/>
    </row>
    <row r="36" spans="1:18" ht="36" customHeight="1" thickBot="1" x14ac:dyDescent="0.25">
      <c r="A36" s="733">
        <v>10</v>
      </c>
      <c r="B36" s="640"/>
      <c r="C36" s="643" t="s">
        <v>1133</v>
      </c>
      <c r="D36" s="615" t="s">
        <v>1134</v>
      </c>
      <c r="E36" s="685"/>
      <c r="F36" s="615" t="s">
        <v>1135</v>
      </c>
      <c r="G36" s="685"/>
      <c r="H36" s="688" t="s">
        <v>1238</v>
      </c>
      <c r="I36" s="689"/>
      <c r="J36" s="627"/>
      <c r="K36" s="698" t="s">
        <v>1136</v>
      </c>
      <c r="L36" s="699"/>
      <c r="M36" s="627"/>
      <c r="N36" s="150" t="s">
        <v>252</v>
      </c>
      <c r="O36" s="151"/>
      <c r="P36" s="769" t="str">
        <f>IF(O38=Berechnung1!D68,Berechnung1!$F$5,IF(OR(O38&lt; Berechnung1!E68,O38&gt; Berechnung1!F68),Berechnung1!$G$5,IF(OR(ROUND(O38,4)&lt;Berechnung1!J68,ROUND(O38,4)&gt;Berechnung1!K68),Berechnung1!$D$5,IF(OR(ROUND(O38,4)&lt;Berechnung1!G68,ROUND(O38,4)&gt;Berechnung1!H68),Berechnung1!$E$5,Berechnung1!$C$5))))</f>
        <v>Unvollständig</v>
      </c>
      <c r="Q36" s="680"/>
      <c r="R36" s="680"/>
    </row>
    <row r="37" spans="1:18" ht="36" customHeight="1" thickBot="1" x14ac:dyDescent="0.25">
      <c r="A37" s="733"/>
      <c r="B37" s="641"/>
      <c r="C37" s="643" t="s">
        <v>256</v>
      </c>
      <c r="D37" s="617"/>
      <c r="E37" s="686"/>
      <c r="F37" s="617"/>
      <c r="G37" s="686"/>
      <c r="H37" s="623"/>
      <c r="I37" s="690"/>
      <c r="J37" s="628"/>
      <c r="K37" s="700"/>
      <c r="L37" s="701"/>
      <c r="M37" s="628"/>
      <c r="N37" s="150" t="s">
        <v>254</v>
      </c>
      <c r="O37" s="485">
        <f>IF(OR(Basisdaten!L30="",'Kennzahlenbogen_(KB)'!O16=""),0,SUM(Basisdaten!L30+'Kennzahlenbogen_(KB)'!O16))</f>
        <v>0</v>
      </c>
      <c r="P37" s="770"/>
      <c r="Q37" s="681"/>
      <c r="R37" s="681"/>
    </row>
    <row r="38" spans="1:18" ht="36" customHeight="1" thickBot="1" x14ac:dyDescent="0.25">
      <c r="A38" s="733"/>
      <c r="B38" s="642"/>
      <c r="C38" s="643"/>
      <c r="D38" s="619"/>
      <c r="E38" s="687"/>
      <c r="F38" s="619"/>
      <c r="G38" s="687"/>
      <c r="H38" s="625"/>
      <c r="I38" s="691"/>
      <c r="J38" s="629"/>
      <c r="K38" s="702"/>
      <c r="L38" s="703"/>
      <c r="M38" s="629"/>
      <c r="N38" s="150" t="s">
        <v>255</v>
      </c>
      <c r="O38" s="486" t="str">
        <f>IF(O36="","n.d.",IF(O37="","n.d.",IF(O37=0,"",IF(O37&lt;O36,"",O36/O37))))</f>
        <v>n.d.</v>
      </c>
      <c r="P38" s="771"/>
      <c r="Q38" s="681"/>
      <c r="R38" s="681"/>
    </row>
    <row r="39" spans="1:18" ht="36" customHeight="1" thickBot="1" x14ac:dyDescent="0.25">
      <c r="A39" s="639">
        <v>11</v>
      </c>
      <c r="B39" s="640"/>
      <c r="C39" s="643" t="s">
        <v>265</v>
      </c>
      <c r="D39" s="615" t="s">
        <v>271</v>
      </c>
      <c r="E39" s="616"/>
      <c r="F39" s="615" t="s">
        <v>1042</v>
      </c>
      <c r="G39" s="616"/>
      <c r="H39" s="688" t="s">
        <v>1239</v>
      </c>
      <c r="I39" s="622"/>
      <c r="J39" s="627" t="s">
        <v>1049</v>
      </c>
      <c r="K39" s="698" t="s">
        <v>734</v>
      </c>
      <c r="L39" s="699"/>
      <c r="M39" s="734"/>
      <c r="N39" s="29" t="s">
        <v>252</v>
      </c>
      <c r="O39" s="49"/>
      <c r="P39" s="638" t="str">
        <f>IF(O41=Berechnung1!D71,Berechnung1!$F$5,IF(OR(O41&lt; Berechnung1!E71,O41&gt; Berechnung1!F71),Berechnung1!$G$5,IF(OR(ROUND(O41,4)&lt;Berechnung1!J71,ROUND(O41,4)&gt;Berechnung1!K71),Berechnung1!$D$5,IF(OR(ROUND(O41,4)&lt;Berechnung1!G71,ROUND(O41,4)&gt;Berechnung1!H71),Berechnung1!$E$5,Berechnung1!$C$5))))</f>
        <v>Unvollständig</v>
      </c>
      <c r="Q39" s="680"/>
      <c r="R39" s="680"/>
    </row>
    <row r="40" spans="1:18" ht="36" customHeight="1" thickBot="1" x14ac:dyDescent="0.25">
      <c r="A40" s="639"/>
      <c r="B40" s="641"/>
      <c r="C40" s="643"/>
      <c r="D40" s="617" t="s">
        <v>271</v>
      </c>
      <c r="E40" s="618"/>
      <c r="F40" s="617"/>
      <c r="G40" s="618"/>
      <c r="H40" s="623"/>
      <c r="I40" s="624"/>
      <c r="J40" s="628"/>
      <c r="K40" s="700"/>
      <c r="L40" s="701"/>
      <c r="M40" s="628"/>
      <c r="N40" s="29" t="s">
        <v>254</v>
      </c>
      <c r="O40" s="30">
        <f>IF(OR(Basisdaten!L30="",'Kennzahlenbogen_(KB)'!O16=""),0,SUM(Basisdaten!L30+'Kennzahlenbogen_(KB)'!O16))</f>
        <v>0</v>
      </c>
      <c r="P40" s="638"/>
      <c r="Q40" s="681"/>
      <c r="R40" s="681"/>
    </row>
    <row r="41" spans="1:18" ht="36" customHeight="1" thickBot="1" x14ac:dyDescent="0.25">
      <c r="A41" s="639"/>
      <c r="B41" s="642"/>
      <c r="C41" s="643"/>
      <c r="D41" s="619"/>
      <c r="E41" s="620"/>
      <c r="F41" s="619"/>
      <c r="G41" s="620"/>
      <c r="H41" s="625"/>
      <c r="I41" s="626"/>
      <c r="J41" s="629"/>
      <c r="K41" s="702"/>
      <c r="L41" s="703"/>
      <c r="M41" s="629"/>
      <c r="N41" s="29" t="s">
        <v>255</v>
      </c>
      <c r="O41" s="172" t="str">
        <f>IF(O39="","n.d.",IF(O40="","n.d.",IF(O40=0,"",O39/O40)))</f>
        <v>n.d.</v>
      </c>
      <c r="P41" s="638"/>
      <c r="Q41" s="681"/>
      <c r="R41" s="681"/>
    </row>
    <row r="42" spans="1:18" ht="30" customHeight="1" thickBot="1" x14ac:dyDescent="0.25">
      <c r="A42" s="639">
        <v>12</v>
      </c>
      <c r="B42" s="640" t="s">
        <v>1192</v>
      </c>
      <c r="C42" s="643" t="s">
        <v>1043</v>
      </c>
      <c r="D42" s="615" t="s">
        <v>1093</v>
      </c>
      <c r="E42" s="616"/>
      <c r="F42" s="615" t="s">
        <v>1044</v>
      </c>
      <c r="G42" s="616"/>
      <c r="H42" s="688" t="s">
        <v>257</v>
      </c>
      <c r="I42" s="622"/>
      <c r="J42" s="627"/>
      <c r="K42" s="698" t="s">
        <v>703</v>
      </c>
      <c r="L42" s="699"/>
      <c r="M42" s="627" t="s">
        <v>592</v>
      </c>
      <c r="N42" s="29" t="s">
        <v>252</v>
      </c>
      <c r="O42" s="30">
        <f>IF(Studien!C5 = "0",0,Studien!C5)</f>
        <v>0</v>
      </c>
      <c r="P42" s="638" t="str">
        <f>IF(O44=Berechnung1!D74,Berechnung1!$F$5,IF(OR(O44&lt; Berechnung1!E74,O44&gt; Berechnung1!F74),Berechnung1!$G$5,IF(OR(ROUND(O44,4)&lt;Berechnung1!J74,ROUND(O44,4)&gt;Berechnung1!K74),Berechnung1!$D$5,IF(OR(ROUND(O44,4)&lt;Berechnung1!G74,ROUND(O44,4)&gt;Berechnung1!H74),Berechnung1!$E$5,Berechnung1!$C$5))))</f>
        <v>Unvollständig</v>
      </c>
      <c r="Q42" s="677"/>
      <c r="R42" s="680"/>
    </row>
    <row r="43" spans="1:18" ht="30" customHeight="1" thickBot="1" x14ac:dyDescent="0.25">
      <c r="A43" s="639"/>
      <c r="B43" s="641"/>
      <c r="C43" s="643" t="s">
        <v>258</v>
      </c>
      <c r="D43" s="617"/>
      <c r="E43" s="618"/>
      <c r="F43" s="617"/>
      <c r="G43" s="618"/>
      <c r="H43" s="623"/>
      <c r="I43" s="624"/>
      <c r="J43" s="628"/>
      <c r="K43" s="700" t="s">
        <v>602</v>
      </c>
      <c r="L43" s="701"/>
      <c r="M43" s="628"/>
      <c r="N43" s="29" t="s">
        <v>254</v>
      </c>
      <c r="O43" s="30">
        <f>IF(Basisdaten!$L$30 = "",0,Basisdaten!$L$30)</f>
        <v>0</v>
      </c>
      <c r="P43" s="638"/>
      <c r="Q43" s="681"/>
      <c r="R43" s="681"/>
    </row>
    <row r="44" spans="1:18" ht="30" customHeight="1" thickBot="1" x14ac:dyDescent="0.25">
      <c r="A44" s="639"/>
      <c r="B44" s="642"/>
      <c r="C44" s="643"/>
      <c r="D44" s="619"/>
      <c r="E44" s="620"/>
      <c r="F44" s="619"/>
      <c r="G44" s="620"/>
      <c r="H44" s="625"/>
      <c r="I44" s="626"/>
      <c r="J44" s="629"/>
      <c r="K44" s="702"/>
      <c r="L44" s="703"/>
      <c r="M44" s="629"/>
      <c r="N44" s="29" t="s">
        <v>255</v>
      </c>
      <c r="O44" s="172" t="str">
        <f>IF(O42="0","n.d.",IF(O43="0","n.d.",IF(O43=0,"n.d.",O42/O43)))</f>
        <v>n.d.</v>
      </c>
      <c r="P44" s="638"/>
      <c r="Q44" s="681"/>
      <c r="R44" s="681"/>
    </row>
    <row r="45" spans="1:18" ht="30" customHeight="1" thickBot="1" x14ac:dyDescent="0.25">
      <c r="A45" s="639">
        <v>13</v>
      </c>
      <c r="B45" s="640" t="s">
        <v>995</v>
      </c>
      <c r="C45" s="643" t="s">
        <v>603</v>
      </c>
      <c r="D45" s="615" t="s">
        <v>604</v>
      </c>
      <c r="E45" s="616"/>
      <c r="F45" s="615" t="s">
        <v>929</v>
      </c>
      <c r="G45" s="616"/>
      <c r="H45" s="688" t="s">
        <v>704</v>
      </c>
      <c r="I45" s="622"/>
      <c r="J45" s="627"/>
      <c r="K45" s="698" t="s">
        <v>605</v>
      </c>
      <c r="L45" s="699"/>
      <c r="M45" s="627"/>
      <c r="N45" s="29" t="s">
        <v>252</v>
      </c>
      <c r="O45" s="49"/>
      <c r="P45" s="638" t="str">
        <f>IF(O47=Berechnung1!D77,Berechnung1!$F$5,IF(OR(O47&lt; Berechnung1!E77,O47&gt; Berechnung1!F77),Berechnung1!$G$5,IF(OR(ROUND(O47,4)&lt;Berechnung1!J77,ROUND(O47,4)&gt;Berechnung1!K77),Berechnung1!$D$5,IF(OR(ROUND(O47,4)&lt;Berechnung1!G77,ROUND(O47,4)&gt;Berechnung1!H77),Berechnung1!$E$5,Berechnung1!$C$5))))</f>
        <v>Unvollständig</v>
      </c>
      <c r="Q45" s="677"/>
      <c r="R45" s="680"/>
    </row>
    <row r="46" spans="1:18" ht="30" customHeight="1" thickBot="1" x14ac:dyDescent="0.25">
      <c r="A46" s="639"/>
      <c r="B46" s="641"/>
      <c r="C46" s="643"/>
      <c r="D46" s="617"/>
      <c r="E46" s="618"/>
      <c r="F46" s="617"/>
      <c r="G46" s="618"/>
      <c r="H46" s="623"/>
      <c r="I46" s="624"/>
      <c r="J46" s="628"/>
      <c r="K46" s="700"/>
      <c r="L46" s="701"/>
      <c r="M46" s="628"/>
      <c r="N46" s="29" t="s">
        <v>254</v>
      </c>
      <c r="O46" s="30">
        <f>IF(Basisdaten!L33="",0,Basisdaten!L33)</f>
        <v>0</v>
      </c>
      <c r="P46" s="638"/>
      <c r="Q46" s="681"/>
      <c r="R46" s="681"/>
    </row>
    <row r="47" spans="1:18" ht="30" customHeight="1" thickBot="1" x14ac:dyDescent="0.25">
      <c r="A47" s="639"/>
      <c r="B47" s="642"/>
      <c r="C47" s="643"/>
      <c r="D47" s="619"/>
      <c r="E47" s="620"/>
      <c r="F47" s="619"/>
      <c r="G47" s="620"/>
      <c r="H47" s="625"/>
      <c r="I47" s="626"/>
      <c r="J47" s="629"/>
      <c r="K47" s="702"/>
      <c r="L47" s="703"/>
      <c r="M47" s="629"/>
      <c r="N47" s="29" t="s">
        <v>255</v>
      </c>
      <c r="O47" s="172" t="str">
        <f>IF(O45="","n.d.",IF(O46="","n.d.",IF(O46=0,"",O45/O46)))</f>
        <v>n.d.</v>
      </c>
      <c r="P47" s="638"/>
      <c r="Q47" s="681"/>
      <c r="R47" s="681"/>
    </row>
    <row r="48" spans="1:18" ht="30" customHeight="1" thickBot="1" x14ac:dyDescent="0.25">
      <c r="A48" s="639" t="s">
        <v>996</v>
      </c>
      <c r="B48" s="640" t="s">
        <v>1193</v>
      </c>
      <c r="C48" s="643" t="s">
        <v>260</v>
      </c>
      <c r="D48" s="615" t="s">
        <v>261</v>
      </c>
      <c r="E48" s="616"/>
      <c r="F48" s="615" t="s">
        <v>257</v>
      </c>
      <c r="G48" s="616"/>
      <c r="H48" s="621" t="s">
        <v>616</v>
      </c>
      <c r="I48" s="622"/>
      <c r="J48" s="627"/>
      <c r="K48" s="698" t="s">
        <v>107</v>
      </c>
      <c r="L48" s="699"/>
      <c r="M48" s="627"/>
      <c r="N48" s="636" t="s">
        <v>262</v>
      </c>
      <c r="O48" s="637">
        <f>IF(Basisdaten!L30="",0,Basisdaten!L30)</f>
        <v>0</v>
      </c>
      <c r="P48" s="638" t="str">
        <f>IF(O48=0,Berechnung1!$F$5,IF(OR(O48&lt; Berechnung1!E80,O48&gt; Berechnung1!F80),Berechnung1!$G$5,IF(OR(ROUND(O48,4)&lt;Berechnung1!J80,ROUND(O48,4)&gt;Berechnung1!K80),Berechnung1!$D$5,IF(OR(ROUND(O48,4)&lt;Berechnung1!G80,ROUND(O48,4)&gt;Berechnung1!H80),Berechnung1!$E$5,Berechnung1!$C$5))))</f>
        <v>Unvollständig</v>
      </c>
      <c r="Q48" s="677"/>
      <c r="R48" s="680"/>
    </row>
    <row r="49" spans="1:19" ht="30" customHeight="1" thickBot="1" x14ac:dyDescent="0.25">
      <c r="A49" s="639"/>
      <c r="B49" s="641"/>
      <c r="C49" s="643"/>
      <c r="D49" s="617"/>
      <c r="E49" s="618"/>
      <c r="F49" s="617"/>
      <c r="G49" s="618"/>
      <c r="H49" s="623"/>
      <c r="I49" s="624"/>
      <c r="J49" s="628"/>
      <c r="K49" s="700"/>
      <c r="L49" s="701"/>
      <c r="M49" s="628"/>
      <c r="N49" s="636"/>
      <c r="O49" s="637"/>
      <c r="P49" s="638"/>
      <c r="Q49" s="681"/>
      <c r="R49" s="681"/>
    </row>
    <row r="50" spans="1:19" ht="30" customHeight="1" thickBot="1" x14ac:dyDescent="0.25">
      <c r="A50" s="639"/>
      <c r="B50" s="642"/>
      <c r="C50" s="643"/>
      <c r="D50" s="619"/>
      <c r="E50" s="620"/>
      <c r="F50" s="619"/>
      <c r="G50" s="620"/>
      <c r="H50" s="625"/>
      <c r="I50" s="626"/>
      <c r="J50" s="629"/>
      <c r="K50" s="702"/>
      <c r="L50" s="703"/>
      <c r="M50" s="629"/>
      <c r="N50" s="636"/>
      <c r="O50" s="637"/>
      <c r="P50" s="638"/>
      <c r="Q50" s="681"/>
      <c r="R50" s="681"/>
    </row>
    <row r="51" spans="1:19" ht="30" customHeight="1" thickBot="1" x14ac:dyDescent="0.25">
      <c r="A51" s="639" t="s">
        <v>997</v>
      </c>
      <c r="B51" s="640"/>
      <c r="C51" s="643" t="s">
        <v>1241</v>
      </c>
      <c r="D51" s="644" t="s">
        <v>616</v>
      </c>
      <c r="E51" s="616"/>
      <c r="F51" s="615" t="s">
        <v>1240</v>
      </c>
      <c r="G51" s="616"/>
      <c r="H51" s="621" t="s">
        <v>616</v>
      </c>
      <c r="I51" s="622"/>
      <c r="J51" s="627"/>
      <c r="K51" s="630" t="s">
        <v>734</v>
      </c>
      <c r="L51" s="631"/>
      <c r="M51" s="627"/>
      <c r="N51" s="636" t="s">
        <v>262</v>
      </c>
      <c r="O51" s="637">
        <f>O16</f>
        <v>0</v>
      </c>
      <c r="P51" s="638" t="str">
        <f>IF(AND(O16="",O51=0),Berechnung1!$F$5,IF(AND(O16=0,O51=0),Berechnung1!$H$5,IF(OR(O51&lt; Berechnung1!E83,O51&gt; Berechnung1!F83),Berechnung1!$G$5,IF(OR(ROUND(O51,4)&lt;Berechnung1!J83,ROUND(O51,4)&gt;Berechnung1!K83),Berechnung1!$D$5,IF(OR(ROUND(O51,4)&lt;Berechnung1!G83,ROUND(O51,4)&gt;Berechnung1!H83),Berechnung1!$E$5,Berechnung1!$C$5)))))</f>
        <v>Unvollständig</v>
      </c>
      <c r="Q51" s="677"/>
      <c r="R51" s="680"/>
    </row>
    <row r="52" spans="1:19" ht="30" customHeight="1" thickBot="1" x14ac:dyDescent="0.25">
      <c r="A52" s="639"/>
      <c r="B52" s="641"/>
      <c r="C52" s="643"/>
      <c r="D52" s="617"/>
      <c r="E52" s="618"/>
      <c r="F52" s="617"/>
      <c r="G52" s="618"/>
      <c r="H52" s="623"/>
      <c r="I52" s="624"/>
      <c r="J52" s="628"/>
      <c r="K52" s="632"/>
      <c r="L52" s="633"/>
      <c r="M52" s="628"/>
      <c r="N52" s="636"/>
      <c r="O52" s="637"/>
      <c r="P52" s="638"/>
      <c r="Q52" s="681"/>
      <c r="R52" s="681"/>
    </row>
    <row r="53" spans="1:19" ht="30" customHeight="1" thickBot="1" x14ac:dyDescent="0.25">
      <c r="A53" s="639"/>
      <c r="B53" s="642"/>
      <c r="C53" s="643"/>
      <c r="D53" s="619"/>
      <c r="E53" s="620"/>
      <c r="F53" s="619"/>
      <c r="G53" s="620"/>
      <c r="H53" s="625"/>
      <c r="I53" s="626"/>
      <c r="J53" s="629"/>
      <c r="K53" s="634"/>
      <c r="L53" s="635"/>
      <c r="M53" s="629"/>
      <c r="N53" s="636"/>
      <c r="O53" s="637"/>
      <c r="P53" s="638"/>
      <c r="Q53" s="681"/>
      <c r="R53" s="681"/>
    </row>
    <row r="54" spans="1:19" ht="36" customHeight="1" thickBot="1" x14ac:dyDescent="0.25">
      <c r="A54" s="639">
        <v>15</v>
      </c>
      <c r="B54" s="655" t="s">
        <v>1083</v>
      </c>
      <c r="C54" s="768" t="s">
        <v>834</v>
      </c>
      <c r="D54" s="645" t="s">
        <v>804</v>
      </c>
      <c r="E54" s="646"/>
      <c r="F54" s="645" t="s">
        <v>1003</v>
      </c>
      <c r="G54" s="646"/>
      <c r="H54" s="651" t="s">
        <v>805</v>
      </c>
      <c r="I54" s="652"/>
      <c r="J54" s="784" t="s">
        <v>745</v>
      </c>
      <c r="K54" s="630" t="s">
        <v>734</v>
      </c>
      <c r="L54" s="631"/>
      <c r="M54" s="778"/>
      <c r="N54" s="247" t="s">
        <v>252</v>
      </c>
      <c r="O54" s="248"/>
      <c r="P54" s="775" t="str">
        <f>IF(O56=Berechnung1!D86,Berechnung1!$F$5,IF(OR(O56&lt; Berechnung1!E86,O56&gt; Berechnung1!F86),Berechnung1!$G$5,IF(OR(ROUND(O56,4)&lt;Berechnung1!J86,ROUND(O56,4)&gt;Berechnung1!K86),Berechnung1!$D$5,IF(OR(ROUND(O56,4)&lt;Berechnung1!G86,ROUND(O56,4)&gt;Berechnung1!H86),Berechnung1!$E$5,Berechnung1!$C$5))))</f>
        <v>Unvollständig</v>
      </c>
      <c r="Q54" s="677"/>
      <c r="R54" s="680"/>
    </row>
    <row r="55" spans="1:19" ht="36" customHeight="1" thickBot="1" x14ac:dyDescent="0.25">
      <c r="A55" s="639"/>
      <c r="B55" s="656"/>
      <c r="C55" s="768"/>
      <c r="D55" s="647"/>
      <c r="E55" s="648"/>
      <c r="F55" s="647"/>
      <c r="G55" s="648"/>
      <c r="H55" s="647"/>
      <c r="I55" s="653"/>
      <c r="J55" s="779"/>
      <c r="K55" s="632"/>
      <c r="L55" s="633"/>
      <c r="M55" s="779"/>
      <c r="N55" s="247" t="s">
        <v>254</v>
      </c>
      <c r="O55" s="248"/>
      <c r="P55" s="776"/>
      <c r="Q55" s="681"/>
      <c r="R55" s="681"/>
      <c r="S55" s="1">
        <f>IF(Basisdaten!L34="",0,Basisdaten!L34)</f>
        <v>0</v>
      </c>
    </row>
    <row r="56" spans="1:19" ht="36" customHeight="1" thickBot="1" x14ac:dyDescent="0.25">
      <c r="A56" s="639"/>
      <c r="B56" s="657"/>
      <c r="C56" s="768"/>
      <c r="D56" s="649"/>
      <c r="E56" s="650"/>
      <c r="F56" s="649"/>
      <c r="G56" s="650"/>
      <c r="H56" s="649"/>
      <c r="I56" s="654"/>
      <c r="J56" s="780"/>
      <c r="K56" s="634"/>
      <c r="L56" s="635"/>
      <c r="M56" s="780"/>
      <c r="N56" s="247" t="s">
        <v>255</v>
      </c>
      <c r="O56" s="249" t="str">
        <f>IF(O54="","n.d.",IF(O55="","n.d.",IF(O55=0,"",O54/O55)))</f>
        <v>n.d.</v>
      </c>
      <c r="P56" s="777"/>
      <c r="Q56" s="681"/>
      <c r="R56" s="681"/>
    </row>
    <row r="57" spans="1:19" ht="30" customHeight="1" thickBot="1" x14ac:dyDescent="0.25">
      <c r="A57" s="673">
        <v>16</v>
      </c>
      <c r="B57" s="640" t="s">
        <v>933</v>
      </c>
      <c r="C57" s="643" t="s">
        <v>1137</v>
      </c>
      <c r="D57" s="615" t="s">
        <v>1138</v>
      </c>
      <c r="E57" s="616"/>
      <c r="F57" s="615" t="s">
        <v>930</v>
      </c>
      <c r="G57" s="616"/>
      <c r="H57" s="688" t="s">
        <v>1139</v>
      </c>
      <c r="I57" s="622"/>
      <c r="J57" s="627"/>
      <c r="K57" s="698" t="s">
        <v>1140</v>
      </c>
      <c r="L57" s="699"/>
      <c r="M57" s="627"/>
      <c r="N57" s="29" t="s">
        <v>252</v>
      </c>
      <c r="O57" s="49"/>
      <c r="P57" s="638" t="str">
        <f>IF(O59=Berechnung1!D89,Berechnung1!$F$5,IF(OR(O59&lt; Berechnung1!E89,O59&gt; Berechnung1!F89),Berechnung1!$G$5,IF(OR(ROUND(O59,4)&lt;Berechnung1!J89,ROUND(O59,4)&gt;Berechnung1!K89),Berechnung1!$D$5,IF(OR(ROUND(O59,4)&lt;Berechnung1!G89,ROUND(O59,4)&gt;Berechnung1!H89),Berechnung1!$E$5,Berechnung1!$C$5))))</f>
        <v>Unvollständig</v>
      </c>
      <c r="Q57" s="677"/>
      <c r="R57" s="680"/>
    </row>
    <row r="58" spans="1:19" ht="30" customHeight="1" thickBot="1" x14ac:dyDescent="0.25">
      <c r="A58" s="674"/>
      <c r="B58" s="641"/>
      <c r="C58" s="643"/>
      <c r="D58" s="617"/>
      <c r="E58" s="618"/>
      <c r="F58" s="617"/>
      <c r="G58" s="618"/>
      <c r="H58" s="623"/>
      <c r="I58" s="624"/>
      <c r="J58" s="628"/>
      <c r="K58" s="700"/>
      <c r="L58" s="701"/>
      <c r="M58" s="628"/>
      <c r="N58" s="29" t="s">
        <v>254</v>
      </c>
      <c r="O58" s="49"/>
      <c r="P58" s="638"/>
      <c r="Q58" s="681"/>
      <c r="R58" s="681"/>
    </row>
    <row r="59" spans="1:19" ht="30" customHeight="1" thickBot="1" x14ac:dyDescent="0.25">
      <c r="A59" s="675"/>
      <c r="B59" s="642"/>
      <c r="C59" s="643"/>
      <c r="D59" s="619"/>
      <c r="E59" s="620"/>
      <c r="F59" s="619"/>
      <c r="G59" s="620"/>
      <c r="H59" s="625"/>
      <c r="I59" s="626"/>
      <c r="J59" s="629"/>
      <c r="K59" s="702"/>
      <c r="L59" s="703"/>
      <c r="M59" s="629"/>
      <c r="N59" s="29" t="s">
        <v>255</v>
      </c>
      <c r="O59" s="172" t="str">
        <f>IF(O57="","n.d.",IF(O58="","n.d.",IF(O58=0,"",O57/O58)))</f>
        <v>n.d.</v>
      </c>
      <c r="P59" s="638"/>
      <c r="Q59" s="681"/>
      <c r="R59" s="681"/>
    </row>
    <row r="60" spans="1:19" ht="30" customHeight="1" thickBot="1" x14ac:dyDescent="0.25">
      <c r="A60" s="673">
        <v>17</v>
      </c>
      <c r="B60" s="640"/>
      <c r="C60" s="643" t="s">
        <v>272</v>
      </c>
      <c r="D60" s="615" t="s">
        <v>266</v>
      </c>
      <c r="E60" s="616"/>
      <c r="F60" s="615" t="s">
        <v>931</v>
      </c>
      <c r="G60" s="616"/>
      <c r="H60" s="688" t="s">
        <v>259</v>
      </c>
      <c r="I60" s="622"/>
      <c r="J60" s="627" t="s">
        <v>591</v>
      </c>
      <c r="K60" s="698" t="s">
        <v>734</v>
      </c>
      <c r="L60" s="699"/>
      <c r="M60" s="627" t="s">
        <v>593</v>
      </c>
      <c r="N60" s="29" t="s">
        <v>252</v>
      </c>
      <c r="O60" s="30">
        <f>IF(Basisdaten!L35 ="",0,Basisdaten!L35)</f>
        <v>0</v>
      </c>
      <c r="P60" s="638" t="str">
        <f>IF(O62=Berechnung1!D92,Berechnung1!$F$5,IF(OR(O62&lt; Berechnung1!E92,O62&gt; Berechnung1!F92),Berechnung1!$G$5,IF(OR(ROUND(O62,4)&lt;Berechnung1!J92,ROUND(O62,4)&gt;Berechnung1!K92),Berechnung1!$D$5,IF(OR(ROUND(O62,4)&lt;Berechnung1!G92,ROUND(O62,4)&gt;Berechnung1!H92),Berechnung1!$E$5,Berechnung1!$C$5))))</f>
        <v>Unvollständig</v>
      </c>
      <c r="Q60" s="680"/>
      <c r="R60" s="680"/>
    </row>
    <row r="61" spans="1:19" ht="30" customHeight="1" thickBot="1" x14ac:dyDescent="0.25">
      <c r="A61" s="674"/>
      <c r="B61" s="641"/>
      <c r="C61" s="643"/>
      <c r="D61" s="617"/>
      <c r="E61" s="618"/>
      <c r="F61" s="617"/>
      <c r="G61" s="618"/>
      <c r="H61" s="623"/>
      <c r="I61" s="624"/>
      <c r="J61" s="628"/>
      <c r="K61" s="700"/>
      <c r="L61" s="701"/>
      <c r="M61" s="628"/>
      <c r="N61" s="29" t="s">
        <v>254</v>
      </c>
      <c r="O61" s="30">
        <f>IF(Basisdaten!$L$33="",0,Basisdaten!$L$33)</f>
        <v>0</v>
      </c>
      <c r="P61" s="638"/>
      <c r="Q61" s="681"/>
      <c r="R61" s="681"/>
    </row>
    <row r="62" spans="1:19" ht="30" customHeight="1" thickBot="1" x14ac:dyDescent="0.25">
      <c r="A62" s="675"/>
      <c r="B62" s="642"/>
      <c r="C62" s="643"/>
      <c r="D62" s="619"/>
      <c r="E62" s="620"/>
      <c r="F62" s="619"/>
      <c r="G62" s="620"/>
      <c r="H62" s="625"/>
      <c r="I62" s="626"/>
      <c r="J62" s="629"/>
      <c r="K62" s="702"/>
      <c r="L62" s="703"/>
      <c r="M62" s="629"/>
      <c r="N62" s="29" t="s">
        <v>255</v>
      </c>
      <c r="O62" s="172" t="str">
        <f>IF(O60=0,"n.d.",IF(O61=0,"n.d.",IF(O61=0,"",O60/O61)))</f>
        <v>n.d.</v>
      </c>
      <c r="P62" s="638"/>
      <c r="Q62" s="681"/>
      <c r="R62" s="681"/>
    </row>
    <row r="63" spans="1:19" ht="24" customHeight="1" thickBot="1" x14ac:dyDescent="0.25">
      <c r="A63" s="673">
        <v>18</v>
      </c>
      <c r="B63" s="640" t="s">
        <v>995</v>
      </c>
      <c r="C63" s="643" t="s">
        <v>611</v>
      </c>
      <c r="D63" s="615" t="s">
        <v>617</v>
      </c>
      <c r="E63" s="616"/>
      <c r="F63" s="615" t="s">
        <v>932</v>
      </c>
      <c r="G63" s="616"/>
      <c r="H63" s="688" t="s">
        <v>1141</v>
      </c>
      <c r="I63" s="622"/>
      <c r="J63" s="627"/>
      <c r="K63" s="698" t="s">
        <v>607</v>
      </c>
      <c r="L63" s="699"/>
      <c r="M63" s="627"/>
      <c r="N63" s="29" t="s">
        <v>252</v>
      </c>
      <c r="O63" s="49"/>
      <c r="P63" s="638" t="str">
        <f>IF(AND(O63&lt;&gt;"",O64&lt;&gt;"",O63=0,O64=0),Berechnung1!$H$5,IF(O65=Berechnung1!D95,Berechnung1!$F$5,IF(OR(O65&lt; Berechnung1!E95,O65&gt; Berechnung1!F95),Berechnung1!$G$5,IF(OR(ROUND(O65,4)&lt;Berechnung1!J95,ROUND(O65,4)&gt;Berechnung1!K95),Berechnung1!$D$5,IF(OR(ROUND(O65,4)&lt;Berechnung1!G95,ROUND(O65,4)&gt;Berechnung1!H95),Berechnung1!$E$5,Berechnung1!$C$5)))))</f>
        <v>Unvollständig</v>
      </c>
      <c r="Q63" s="677"/>
      <c r="R63" s="680"/>
    </row>
    <row r="64" spans="1:19" ht="24" customHeight="1" thickBot="1" x14ac:dyDescent="0.25">
      <c r="A64" s="674"/>
      <c r="B64" s="641"/>
      <c r="C64" s="643"/>
      <c r="D64" s="617"/>
      <c r="E64" s="618"/>
      <c r="F64" s="617"/>
      <c r="G64" s="618"/>
      <c r="H64" s="623"/>
      <c r="I64" s="624"/>
      <c r="J64" s="628"/>
      <c r="K64" s="700"/>
      <c r="L64" s="701"/>
      <c r="M64" s="628"/>
      <c r="N64" s="29" t="s">
        <v>254</v>
      </c>
      <c r="O64" s="49"/>
      <c r="P64" s="638"/>
      <c r="Q64" s="681"/>
      <c r="R64" s="681"/>
      <c r="S64" s="1">
        <f>IF(Basisdaten!D34="",0,Basisdaten!D34)</f>
        <v>0</v>
      </c>
    </row>
    <row r="65" spans="1:19" ht="24" customHeight="1" thickBot="1" x14ac:dyDescent="0.25">
      <c r="A65" s="675"/>
      <c r="B65" s="642"/>
      <c r="C65" s="643"/>
      <c r="D65" s="619"/>
      <c r="E65" s="620"/>
      <c r="F65" s="619"/>
      <c r="G65" s="620"/>
      <c r="H65" s="625"/>
      <c r="I65" s="626"/>
      <c r="J65" s="629"/>
      <c r="K65" s="702"/>
      <c r="L65" s="703"/>
      <c r="M65" s="629"/>
      <c r="N65" s="29" t="s">
        <v>255</v>
      </c>
      <c r="O65" s="172" t="str">
        <f>IF(O63="","n.d.",IF(O64="","n.d.",IF(O64=0,"",O63/O64)))</f>
        <v>n.d.</v>
      </c>
      <c r="P65" s="638"/>
      <c r="Q65" s="681"/>
      <c r="R65" s="681"/>
    </row>
    <row r="66" spans="1:19" ht="24" customHeight="1" thickBot="1" x14ac:dyDescent="0.25">
      <c r="A66" s="673">
        <v>19</v>
      </c>
      <c r="B66" s="640" t="s">
        <v>609</v>
      </c>
      <c r="C66" s="643" t="s">
        <v>273</v>
      </c>
      <c r="D66" s="615" t="s">
        <v>273</v>
      </c>
      <c r="E66" s="616"/>
      <c r="F66" s="615" t="s">
        <v>934</v>
      </c>
      <c r="G66" s="616"/>
      <c r="H66" s="615" t="s">
        <v>935</v>
      </c>
      <c r="I66" s="622"/>
      <c r="J66" s="627"/>
      <c r="K66" s="698" t="s">
        <v>589</v>
      </c>
      <c r="L66" s="699"/>
      <c r="M66" s="627"/>
      <c r="N66" s="29" t="s">
        <v>252</v>
      </c>
      <c r="O66" s="49"/>
      <c r="P66" s="638" t="str">
        <f>IF(O68=Berechnung1!D98,Berechnung1!$F$5,IF(OR(O68&lt; Berechnung1!E98,O68&gt; Berechnung1!F98),Berechnung1!$G$5,IF(OR(ROUND(O68,4)&lt;Berechnung1!J98,ROUND(O68,4)&gt;Berechnung1!K98),Berechnung1!$D$5,IF(OR(ROUND(O68,4)&lt;Berechnung1!G98,ROUND(O68,4)&gt;Berechnung1!H98),Berechnung1!$E$5,Berechnung1!$C$5))))</f>
        <v>Unvollständig</v>
      </c>
      <c r="Q66" s="677"/>
      <c r="R66" s="680"/>
      <c r="S66" s="1">
        <f>SUM(Basisdaten!E33:K33)</f>
        <v>0</v>
      </c>
    </row>
    <row r="67" spans="1:19" ht="24" customHeight="1" thickBot="1" x14ac:dyDescent="0.25">
      <c r="A67" s="674"/>
      <c r="B67" s="641"/>
      <c r="C67" s="643"/>
      <c r="D67" s="617"/>
      <c r="E67" s="618"/>
      <c r="F67" s="617"/>
      <c r="G67" s="618"/>
      <c r="H67" s="617"/>
      <c r="I67" s="624"/>
      <c r="J67" s="628"/>
      <c r="K67" s="700"/>
      <c r="L67" s="701"/>
      <c r="M67" s="628"/>
      <c r="N67" s="29" t="s">
        <v>254</v>
      </c>
      <c r="O67" s="49"/>
      <c r="P67" s="638"/>
      <c r="Q67" s="681"/>
      <c r="R67" s="681"/>
      <c r="S67" s="1">
        <f>SUM(Basisdaten!E33:J33)</f>
        <v>0</v>
      </c>
    </row>
    <row r="68" spans="1:19" ht="24" customHeight="1" thickBot="1" x14ac:dyDescent="0.25">
      <c r="A68" s="675"/>
      <c r="B68" s="642"/>
      <c r="C68" s="643"/>
      <c r="D68" s="619"/>
      <c r="E68" s="620"/>
      <c r="F68" s="619"/>
      <c r="G68" s="620"/>
      <c r="H68" s="619"/>
      <c r="I68" s="626"/>
      <c r="J68" s="629"/>
      <c r="K68" s="702"/>
      <c r="L68" s="703"/>
      <c r="M68" s="629"/>
      <c r="N68" s="29" t="s">
        <v>255</v>
      </c>
      <c r="O68" s="172" t="str">
        <f>IF(O66="","n.d.",IF(O67="","n.d.",IF(O67=0,"",O66/O67)))</f>
        <v>n.d.</v>
      </c>
      <c r="P68" s="638"/>
      <c r="Q68" s="681"/>
      <c r="R68" s="681"/>
    </row>
    <row r="69" spans="1:19" ht="27" customHeight="1" thickBot="1" x14ac:dyDescent="0.25">
      <c r="A69" s="673" t="s">
        <v>886</v>
      </c>
      <c r="B69" s="640" t="s">
        <v>995</v>
      </c>
      <c r="C69" s="643" t="s">
        <v>888</v>
      </c>
      <c r="D69" s="615" t="s">
        <v>887</v>
      </c>
      <c r="E69" s="616"/>
      <c r="F69" s="615" t="s">
        <v>936</v>
      </c>
      <c r="G69" s="616"/>
      <c r="H69" s="688" t="s">
        <v>1142</v>
      </c>
      <c r="I69" s="622"/>
      <c r="J69" s="627"/>
      <c r="K69" s="698" t="s">
        <v>671</v>
      </c>
      <c r="L69" s="699"/>
      <c r="M69" s="627"/>
      <c r="N69" s="29" t="s">
        <v>252</v>
      </c>
      <c r="O69" s="49"/>
      <c r="P69" s="638" t="str">
        <f>IF(AND(O69&lt;&gt;"",O70&lt;&gt;"",O69=0,O70=0),Berechnung1!$H$5,IF(O71=Berechnung1!D101,Berechnung1!$F$5,IF(OR(O71&lt; Berechnung1!E101,O71&gt; Berechnung1!F101),Berechnung1!$G$5,IF(OR(ROUND(O71,4)&lt;Berechnung1!J101,ROUND(O71,4)&gt;Berechnung1!K101),Berechnung1!$D$5,IF(OR(ROUND(O71,4)&lt;Berechnung1!G101,ROUND(O71,4)&gt;Berechnung1!H101),Berechnung1!$E$5,Berechnung1!$C$5)))))</f>
        <v>Unvollständig</v>
      </c>
      <c r="Q69" s="677"/>
      <c r="R69" s="680"/>
    </row>
    <row r="70" spans="1:19" ht="27" customHeight="1" thickBot="1" x14ac:dyDescent="0.25">
      <c r="A70" s="674"/>
      <c r="B70" s="641"/>
      <c r="C70" s="643"/>
      <c r="D70" s="617"/>
      <c r="E70" s="618"/>
      <c r="F70" s="617"/>
      <c r="G70" s="618"/>
      <c r="H70" s="623"/>
      <c r="I70" s="624"/>
      <c r="J70" s="628"/>
      <c r="K70" s="700"/>
      <c r="L70" s="701"/>
      <c r="M70" s="628"/>
      <c r="N70" s="29" t="s">
        <v>254</v>
      </c>
      <c r="O70" s="49"/>
      <c r="P70" s="638"/>
      <c r="Q70" s="681"/>
      <c r="R70" s="681"/>
      <c r="S70" s="346">
        <f>SUM(Basisdaten!E30:H30)+Basisdaten!J30+Basisdaten!K30</f>
        <v>0</v>
      </c>
    </row>
    <row r="71" spans="1:19" ht="27" customHeight="1" thickBot="1" x14ac:dyDescent="0.25">
      <c r="A71" s="675"/>
      <c r="B71" s="642"/>
      <c r="C71" s="643"/>
      <c r="D71" s="619"/>
      <c r="E71" s="620"/>
      <c r="F71" s="619"/>
      <c r="G71" s="620"/>
      <c r="H71" s="625"/>
      <c r="I71" s="626"/>
      <c r="J71" s="629"/>
      <c r="K71" s="702"/>
      <c r="L71" s="703"/>
      <c r="M71" s="629"/>
      <c r="N71" s="29" t="s">
        <v>255</v>
      </c>
      <c r="O71" s="172" t="str">
        <f>IF(O69="","n.d.",IF(O70="","n.d.",IF(O70=0,"",O69/O70)))</f>
        <v>n.d.</v>
      </c>
      <c r="P71" s="638"/>
      <c r="Q71" s="681"/>
      <c r="R71" s="681"/>
    </row>
    <row r="72" spans="1:19" ht="27" customHeight="1" thickBot="1" x14ac:dyDescent="0.25">
      <c r="A72" s="682" t="s">
        <v>889</v>
      </c>
      <c r="B72" s="640" t="s">
        <v>995</v>
      </c>
      <c r="C72" s="643" t="s">
        <v>920</v>
      </c>
      <c r="D72" s="615" t="s">
        <v>887</v>
      </c>
      <c r="E72" s="692"/>
      <c r="F72" s="615" t="s">
        <v>937</v>
      </c>
      <c r="G72" s="692"/>
      <c r="H72" s="688" t="s">
        <v>1143</v>
      </c>
      <c r="I72" s="695"/>
      <c r="J72" s="627"/>
      <c r="K72" s="698" t="s">
        <v>671</v>
      </c>
      <c r="L72" s="699"/>
      <c r="M72" s="627"/>
      <c r="N72" s="29" t="s">
        <v>252</v>
      </c>
      <c r="O72" s="49"/>
      <c r="P72" s="638" t="str">
        <f>IF(AND(O72&lt;&gt;"",O73&lt;&gt;"",O72=0,O73=0),Berechnung1!$H$5,IF(O74=Berechnung1!D104,Berechnung1!$F$5,IF(OR(O74&lt; Berechnung1!E104,O74&gt; Berechnung1!F104),Berechnung1!$G$5,IF(OR(ROUND(O74,4)&lt;Berechnung1!J104,ROUND(O74,4)&gt;Berechnung1!K104),Berechnung1!$D$5,IF(OR(ROUND(O74,4)&lt;Berechnung1!G104,ROUND(O74,4)&gt;Berechnung1!H104),Berechnung1!$E$5,Berechnung1!$C$5)))))</f>
        <v>Unvollständig</v>
      </c>
      <c r="Q72" s="680"/>
      <c r="R72" s="680"/>
    </row>
    <row r="73" spans="1:19" ht="27" customHeight="1" thickBot="1" x14ac:dyDescent="0.25">
      <c r="A73" s="683"/>
      <c r="B73" s="641"/>
      <c r="C73" s="643"/>
      <c r="D73" s="617"/>
      <c r="E73" s="693"/>
      <c r="F73" s="617"/>
      <c r="G73" s="693"/>
      <c r="H73" s="623"/>
      <c r="I73" s="696"/>
      <c r="J73" s="628"/>
      <c r="K73" s="700"/>
      <c r="L73" s="701"/>
      <c r="M73" s="628"/>
      <c r="N73" s="29" t="s">
        <v>254</v>
      </c>
      <c r="O73" s="49"/>
      <c r="P73" s="638"/>
      <c r="Q73" s="681"/>
      <c r="R73" s="681"/>
      <c r="S73" s="346">
        <f>SUM(Basisdaten!E30:H30)+Basisdaten!J30+Basisdaten!K30</f>
        <v>0</v>
      </c>
    </row>
    <row r="74" spans="1:19" ht="27" customHeight="1" thickBot="1" x14ac:dyDescent="0.25">
      <c r="A74" s="684"/>
      <c r="B74" s="642"/>
      <c r="C74" s="643"/>
      <c r="D74" s="619"/>
      <c r="E74" s="694"/>
      <c r="F74" s="619"/>
      <c r="G74" s="694"/>
      <c r="H74" s="625"/>
      <c r="I74" s="697"/>
      <c r="J74" s="629"/>
      <c r="K74" s="702"/>
      <c r="L74" s="703"/>
      <c r="M74" s="629"/>
      <c r="N74" s="29" t="s">
        <v>255</v>
      </c>
      <c r="O74" s="172" t="str">
        <f>IF(O72="","n.d.",IF(O73="","n.d.",IF(O73=0,"",O72/O73)))</f>
        <v>n.d.</v>
      </c>
      <c r="P74" s="638"/>
      <c r="Q74" s="681"/>
      <c r="R74" s="681"/>
    </row>
    <row r="75" spans="1:19" ht="30" customHeight="1" thickBot="1" x14ac:dyDescent="0.25">
      <c r="A75" s="673">
        <v>21</v>
      </c>
      <c r="B75" s="640" t="s">
        <v>995</v>
      </c>
      <c r="C75" s="643" t="s">
        <v>274</v>
      </c>
      <c r="D75" s="615" t="s">
        <v>275</v>
      </c>
      <c r="E75" s="616"/>
      <c r="F75" s="645" t="s">
        <v>938</v>
      </c>
      <c r="G75" s="646"/>
      <c r="H75" s="688" t="s">
        <v>608</v>
      </c>
      <c r="I75" s="622"/>
      <c r="J75" s="627"/>
      <c r="K75" s="698" t="s">
        <v>589</v>
      </c>
      <c r="L75" s="699"/>
      <c r="M75" s="627"/>
      <c r="N75" s="29" t="s">
        <v>252</v>
      </c>
      <c r="O75" s="49"/>
      <c r="P75" s="638" t="str">
        <f>IF(O77=Berechnung1!D107,Berechnung1!$F$5,IF(OR(O77&lt; Berechnung1!E107,O77&gt; Berechnung1!F107),Berechnung1!$G$5,IF(OR(ROUND(O77,4)&lt;Berechnung1!J107,ROUND(O77,4)&gt;Berechnung1!K107),Berechnung1!$D$5,IF(OR(ROUND(O77,4)&lt;Berechnung1!G107,ROUND(O77,4)&gt;Berechnung1!H107),Berechnung1!$E$5,Berechnung1!$C$5))))</f>
        <v>Unvollständig</v>
      </c>
      <c r="Q75" s="677"/>
      <c r="R75" s="680"/>
    </row>
    <row r="76" spans="1:19" ht="30" customHeight="1" thickBot="1" x14ac:dyDescent="0.25">
      <c r="A76" s="674"/>
      <c r="B76" s="641"/>
      <c r="C76" s="643"/>
      <c r="D76" s="617"/>
      <c r="E76" s="618"/>
      <c r="F76" s="647"/>
      <c r="G76" s="648"/>
      <c r="H76" s="623"/>
      <c r="I76" s="624"/>
      <c r="J76" s="628"/>
      <c r="K76" s="700"/>
      <c r="L76" s="701"/>
      <c r="M76" s="628"/>
      <c r="N76" s="29" t="s">
        <v>254</v>
      </c>
      <c r="O76" s="49"/>
      <c r="P76" s="638"/>
      <c r="Q76" s="681"/>
      <c r="R76" s="681"/>
    </row>
    <row r="77" spans="1:19" ht="30" customHeight="1" thickBot="1" x14ac:dyDescent="0.25">
      <c r="A77" s="675"/>
      <c r="B77" s="642"/>
      <c r="C77" s="643"/>
      <c r="D77" s="619"/>
      <c r="E77" s="620"/>
      <c r="F77" s="649"/>
      <c r="G77" s="650"/>
      <c r="H77" s="625"/>
      <c r="I77" s="626"/>
      <c r="J77" s="629"/>
      <c r="K77" s="702"/>
      <c r="L77" s="703"/>
      <c r="M77" s="629"/>
      <c r="N77" s="29" t="s">
        <v>255</v>
      </c>
      <c r="O77" s="172" t="str">
        <f>IF(O75="","n.d.",IF(O76="","n.d.",IF(O76=0,"",O75/O76)))</f>
        <v>n.d.</v>
      </c>
      <c r="P77" s="638"/>
      <c r="Q77" s="681"/>
      <c r="R77" s="681"/>
    </row>
    <row r="78" spans="1:19" ht="28.5" customHeight="1" thickBot="1" x14ac:dyDescent="0.25">
      <c r="A78" s="673">
        <v>22</v>
      </c>
      <c r="B78" s="640" t="s">
        <v>610</v>
      </c>
      <c r="C78" s="643" t="s">
        <v>267</v>
      </c>
      <c r="D78" s="615" t="s">
        <v>276</v>
      </c>
      <c r="E78" s="616"/>
      <c r="F78" s="615" t="s">
        <v>939</v>
      </c>
      <c r="G78" s="616"/>
      <c r="H78" s="688" t="s">
        <v>259</v>
      </c>
      <c r="I78" s="622"/>
      <c r="J78" s="734" t="s">
        <v>641</v>
      </c>
      <c r="K78" s="698" t="s">
        <v>672</v>
      </c>
      <c r="L78" s="699"/>
      <c r="M78" s="627"/>
      <c r="N78" s="29" t="s">
        <v>252</v>
      </c>
      <c r="O78" s="49"/>
      <c r="P78" s="638" t="str">
        <f>IF(O80=Berechnung1!D110,Berechnung1!$F$5,IF(OR(O80&lt; Berechnung1!E110,O80&gt; Berechnung1!F110),Berechnung1!$G$5,IF(OR(O80&lt;Berechnung1!J110,O80&gt;Berechnung1!K110),Berechnung1!$D$5,IF(OR(O80&lt;Berechnung1!G110,O80&gt;Berechnung1!H110),Berechnung1!$E$5,Berechnung1!$C$5))))</f>
        <v>Unvollständig</v>
      </c>
      <c r="Q78" s="680"/>
      <c r="R78" s="680"/>
    </row>
    <row r="79" spans="1:19" ht="28.5" customHeight="1" thickBot="1" x14ac:dyDescent="0.25">
      <c r="A79" s="674"/>
      <c r="B79" s="641"/>
      <c r="C79" s="643"/>
      <c r="D79" s="617"/>
      <c r="E79" s="618"/>
      <c r="F79" s="617"/>
      <c r="G79" s="618"/>
      <c r="H79" s="623"/>
      <c r="I79" s="624"/>
      <c r="J79" s="628"/>
      <c r="K79" s="700"/>
      <c r="L79" s="701"/>
      <c r="M79" s="628"/>
      <c r="N79" s="29" t="s">
        <v>254</v>
      </c>
      <c r="O79" s="30">
        <f>IF(Basisdaten!$L$33="",0,Basisdaten!$L$33)</f>
        <v>0</v>
      </c>
      <c r="P79" s="638"/>
      <c r="Q79" s="678"/>
      <c r="R79" s="681"/>
    </row>
    <row r="80" spans="1:19" ht="28.5" customHeight="1" thickBot="1" x14ac:dyDescent="0.25">
      <c r="A80" s="675"/>
      <c r="B80" s="642"/>
      <c r="C80" s="643"/>
      <c r="D80" s="619"/>
      <c r="E80" s="620"/>
      <c r="F80" s="619"/>
      <c r="G80" s="620"/>
      <c r="H80" s="625"/>
      <c r="I80" s="626"/>
      <c r="J80" s="629"/>
      <c r="K80" s="702"/>
      <c r="L80" s="703"/>
      <c r="M80" s="629"/>
      <c r="N80" s="29" t="s">
        <v>255</v>
      </c>
      <c r="O80" s="172" t="str">
        <f>IF(O78="","n.d.",IF(O79="","n.d.",IF(O79=0,"",O78/O79)))</f>
        <v>n.d.</v>
      </c>
      <c r="P80" s="638"/>
      <c r="Q80" s="679"/>
      <c r="R80" s="681"/>
    </row>
    <row r="81" spans="1:19" ht="28.5" customHeight="1" thickBot="1" x14ac:dyDescent="0.25">
      <c r="A81" s="682">
        <v>23</v>
      </c>
      <c r="B81" s="640" t="s">
        <v>995</v>
      </c>
      <c r="C81" s="643" t="s">
        <v>941</v>
      </c>
      <c r="D81" s="615" t="s">
        <v>890</v>
      </c>
      <c r="E81" s="685"/>
      <c r="F81" s="615" t="s">
        <v>940</v>
      </c>
      <c r="G81" s="685"/>
      <c r="H81" s="688" t="s">
        <v>1037</v>
      </c>
      <c r="I81" s="689"/>
      <c r="J81" s="627"/>
      <c r="K81" s="698" t="s">
        <v>672</v>
      </c>
      <c r="L81" s="699"/>
      <c r="M81" s="627"/>
      <c r="N81" s="29" t="s">
        <v>252</v>
      </c>
      <c r="O81" s="49"/>
      <c r="P81" s="638" t="str">
        <f>IF(AND(O81&lt;&gt;"",O82&lt;&gt;"",O81=0,O82=0),Berechnung1!$H$5,IF(O83=Berechnung1!D113,Berechnung1!$F$5,IF(OR(O83&lt; Berechnung1!E113,O83&gt; Berechnung1!F113),Berechnung1!$G$5,IF(OR(O83&lt;Berechnung1!J113,O83&gt;Berechnung1!K113),Berechnung1!$D$5,IF(OR(O83&lt;Berechnung1!G113,O83&gt;Berechnung1!H113),Berechnung1!$E$5,Berechnung1!$C$5)))))</f>
        <v>Unvollständig</v>
      </c>
      <c r="Q81" s="677"/>
      <c r="R81" s="680"/>
    </row>
    <row r="82" spans="1:19" ht="28.5" customHeight="1" thickBot="1" x14ac:dyDescent="0.25">
      <c r="A82" s="683"/>
      <c r="B82" s="641"/>
      <c r="C82" s="643"/>
      <c r="D82" s="617"/>
      <c r="E82" s="686"/>
      <c r="F82" s="617"/>
      <c r="G82" s="686"/>
      <c r="H82" s="623"/>
      <c r="I82" s="690"/>
      <c r="J82" s="628"/>
      <c r="K82" s="700"/>
      <c r="L82" s="701"/>
      <c r="M82" s="628"/>
      <c r="N82" s="29" t="s">
        <v>254</v>
      </c>
      <c r="O82" s="49"/>
      <c r="P82" s="638"/>
      <c r="Q82" s="678"/>
      <c r="R82" s="681"/>
      <c r="S82" s="1">
        <f>Basisdaten!I30+Basisdaten!J30+Basisdaten!K30</f>
        <v>0</v>
      </c>
    </row>
    <row r="83" spans="1:19" ht="28.5" customHeight="1" thickBot="1" x14ac:dyDescent="0.25">
      <c r="A83" s="684"/>
      <c r="B83" s="642"/>
      <c r="C83" s="643"/>
      <c r="D83" s="619"/>
      <c r="E83" s="687"/>
      <c r="F83" s="619"/>
      <c r="G83" s="687"/>
      <c r="H83" s="625"/>
      <c r="I83" s="691"/>
      <c r="J83" s="629"/>
      <c r="K83" s="702"/>
      <c r="L83" s="703"/>
      <c r="M83" s="629"/>
      <c r="N83" s="29" t="s">
        <v>255</v>
      </c>
      <c r="O83" s="172" t="str">
        <f>IF(O81="","n.d.",IF(O82="","n.d.",IF(O82=0,"",O81/O82)))</f>
        <v>n.d.</v>
      </c>
      <c r="P83" s="638"/>
      <c r="Q83" s="679"/>
      <c r="R83" s="681"/>
    </row>
    <row r="84" spans="1:19" customFormat="1" ht="8.1" customHeight="1" x14ac:dyDescent="0.25"/>
    <row r="85" spans="1:19" customFormat="1" ht="18" customHeight="1" thickBot="1" x14ac:dyDescent="0.3">
      <c r="A85" s="443" t="s">
        <v>444</v>
      </c>
    </row>
    <row r="86" spans="1:19" customFormat="1" ht="18" customHeight="1" thickBot="1" x14ac:dyDescent="0.3">
      <c r="B86" s="659" t="s">
        <v>1046</v>
      </c>
      <c r="C86" s="660"/>
      <c r="D86" s="444" t="s">
        <v>460</v>
      </c>
      <c r="E86" s="445" t="str">
        <f>CONCATENATE(TEXT(Berechnung1!C9,"0,00%")," (",Berechnung1!$C$6, ")")</f>
        <v>0,00% (0)</v>
      </c>
      <c r="F86" s="663" t="str">
        <f>CONCATENATE(TEXT(Berechnung1!D10,"0,00%")," (",Berechnung1!$D$7, ")")</f>
        <v>0,00% (0)</v>
      </c>
      <c r="G86" s="671" t="s">
        <v>469</v>
      </c>
    </row>
    <row r="87" spans="1:19" customFormat="1" ht="18" customHeight="1" thickBot="1" x14ac:dyDescent="0.3">
      <c r="B87" s="661"/>
      <c r="C87" s="662"/>
      <c r="D87" s="446" t="s">
        <v>440</v>
      </c>
      <c r="E87" s="447" t="str">
        <f>CONCATENATE(TEXT(Berechnung1!K9,"0,00%")," (",Berechnung1!K6,")")</f>
        <v>0,00% (0)</v>
      </c>
      <c r="F87" s="663"/>
      <c r="G87" s="672"/>
    </row>
    <row r="88" spans="1:19" customFormat="1" ht="18" customHeight="1" thickBot="1" x14ac:dyDescent="0.3">
      <c r="B88" s="664" t="s">
        <v>1047</v>
      </c>
      <c r="C88" s="665"/>
      <c r="D88" s="665"/>
      <c r="E88" s="666"/>
      <c r="F88" s="448" t="str">
        <f>CONCATENATE(TEXT(Berechnung1!E10,"0,00%")," (",Berechnung1!$E$7, ")")</f>
        <v>0,00% (0)</v>
      </c>
      <c r="G88" s="453" t="str">
        <f>CONCATENATE(TEXT(Berechnung1!E11,"0,00%")," (",Berechnung1!$E$8, ")")</f>
        <v>0,00% (0)</v>
      </c>
    </row>
    <row r="89" spans="1:19" customFormat="1" ht="18" customHeight="1" thickBot="1" x14ac:dyDescent="0.3">
      <c r="B89" s="667" t="s">
        <v>462</v>
      </c>
      <c r="C89" s="668"/>
      <c r="D89" s="449" t="s">
        <v>461</v>
      </c>
      <c r="E89" s="450" t="str">
        <f>CONCATENATE(TEXT(Berechnung1!G9,"0,00%")," (",Berechnung1!G6,")")</f>
        <v>0,00% (0)</v>
      </c>
      <c r="F89" s="663" t="str">
        <f>CONCATENATE(TEXT(Berechnung1!G10,"0,00%")," (",Berechnung1!$G$8, ")")</f>
        <v>100,00% (25)</v>
      </c>
      <c r="G89" s="663"/>
    </row>
    <row r="90" spans="1:19" customFormat="1" ht="18" customHeight="1" thickBot="1" x14ac:dyDescent="0.3">
      <c r="B90" s="669"/>
      <c r="C90" s="670"/>
      <c r="D90" s="451" t="s">
        <v>463</v>
      </c>
      <c r="E90" s="452" t="str">
        <f>CONCATENATE(TEXT(Berechnung1!F9,"0,00%")," (",Berechnung1!F6,")")</f>
        <v>100,00% (25)</v>
      </c>
      <c r="F90" s="663"/>
      <c r="G90" s="663"/>
    </row>
    <row r="91" spans="1:19" customFormat="1" ht="8.1" customHeight="1" x14ac:dyDescent="0.25"/>
    <row r="92" spans="1:19" customFormat="1" ht="12" customHeight="1" x14ac:dyDescent="0.25">
      <c r="A92" s="47" t="s">
        <v>437</v>
      </c>
    </row>
    <row r="93" spans="1:19" s="5" customFormat="1" ht="22.5" customHeight="1" x14ac:dyDescent="0.2">
      <c r="A93" s="676" t="s">
        <v>1242</v>
      </c>
      <c r="B93" s="676"/>
      <c r="C93" s="676"/>
      <c r="D93" s="676"/>
      <c r="E93" s="676"/>
      <c r="F93" s="676"/>
      <c r="G93" s="676"/>
      <c r="H93" s="676"/>
      <c r="I93" s="676"/>
      <c r="J93" s="676"/>
      <c r="K93" s="676"/>
      <c r="L93" s="676"/>
      <c r="M93" s="676"/>
      <c r="N93" s="676"/>
      <c r="O93" s="676"/>
      <c r="P93" s="676"/>
    </row>
    <row r="94" spans="1:19" ht="23.25" customHeight="1" x14ac:dyDescent="0.2">
      <c r="A94" s="251">
        <v>1</v>
      </c>
      <c r="B94" s="782" t="s">
        <v>653</v>
      </c>
      <c r="C94" s="783"/>
      <c r="D94" s="783"/>
      <c r="E94" s="783"/>
      <c r="F94" s="783"/>
      <c r="G94" s="783"/>
      <c r="H94" s="783"/>
      <c r="I94" s="783"/>
      <c r="J94" s="783"/>
      <c r="K94" s="783"/>
      <c r="L94" s="783"/>
      <c r="M94" s="783"/>
      <c r="N94" s="783"/>
      <c r="O94" s="783"/>
      <c r="P94" s="783"/>
      <c r="Q94" s="5"/>
      <c r="R94" s="5"/>
    </row>
    <row r="95" spans="1:19" s="154" customFormat="1" ht="129.75" customHeight="1" x14ac:dyDescent="0.2">
      <c r="A95" s="540" t="s">
        <v>1243</v>
      </c>
      <c r="B95" s="781"/>
      <c r="C95" s="781"/>
      <c r="D95" s="781"/>
      <c r="E95" s="781"/>
      <c r="F95" s="781"/>
      <c r="G95" s="781"/>
      <c r="H95" s="781"/>
      <c r="I95" s="781"/>
      <c r="J95" s="781"/>
      <c r="K95" s="781"/>
      <c r="L95" s="781"/>
      <c r="M95" s="781"/>
      <c r="N95" s="781"/>
      <c r="O95" s="781"/>
      <c r="P95" s="781"/>
    </row>
    <row r="96" spans="1:19" x14ac:dyDescent="0.2">
      <c r="A96" s="406" t="s">
        <v>942</v>
      </c>
    </row>
    <row r="97" spans="1:16" ht="24.75" customHeight="1" x14ac:dyDescent="0.2">
      <c r="A97" s="658" t="s">
        <v>1045</v>
      </c>
      <c r="B97" s="658"/>
      <c r="C97" s="658"/>
      <c r="D97" s="658"/>
      <c r="E97" s="658"/>
      <c r="F97" s="658"/>
      <c r="G97" s="658"/>
      <c r="H97" s="658"/>
      <c r="I97" s="658"/>
      <c r="J97" s="658"/>
      <c r="K97" s="658"/>
      <c r="L97" s="658"/>
      <c r="M97" s="658"/>
      <c r="N97" s="658"/>
      <c r="O97" s="658"/>
      <c r="P97" s="658"/>
    </row>
    <row r="98" spans="1:16" ht="7.9" customHeight="1" x14ac:dyDescent="0.2"/>
  </sheetData>
  <sheetProtection algorithmName="SHA-512" hashValue="su7Mo4B+zRaojxKnHaq+lPLuEafehErZiLl7XISeOPmIX3N5HenBQrtwE2+/39UcY2zJ72QIWwJoVJe7W7FBpA==" saltValue="A442ZXfSLNy1uTUa3MlIzg==" spinCount="100000" sheet="1" objects="1" scenarios="1" selectLockedCells="1"/>
  <dataConsolidate link="1"/>
  <mergeCells count="327">
    <mergeCell ref="C66:C68"/>
    <mergeCell ref="D66:E68"/>
    <mergeCell ref="H66:I68"/>
    <mergeCell ref="F66:G68"/>
    <mergeCell ref="F63:G65"/>
    <mergeCell ref="J36:J38"/>
    <mergeCell ref="K33:L35"/>
    <mergeCell ref="M36:M38"/>
    <mergeCell ref="K39:L41"/>
    <mergeCell ref="D63:E65"/>
    <mergeCell ref="D57:E59"/>
    <mergeCell ref="D60:E62"/>
    <mergeCell ref="K48:L50"/>
    <mergeCell ref="D54:E56"/>
    <mergeCell ref="J42:J44"/>
    <mergeCell ref="J48:J50"/>
    <mergeCell ref="C60:C62"/>
    <mergeCell ref="H63:I65"/>
    <mergeCell ref="C63:C65"/>
    <mergeCell ref="H60:I62"/>
    <mergeCell ref="F42:G44"/>
    <mergeCell ref="D42:E44"/>
    <mergeCell ref="J54:J56"/>
    <mergeCell ref="K54:L56"/>
    <mergeCell ref="A95:P95"/>
    <mergeCell ref="B94:P94"/>
    <mergeCell ref="R69:R71"/>
    <mergeCell ref="Q78:Q80"/>
    <mergeCell ref="Q75:Q77"/>
    <mergeCell ref="R78:R80"/>
    <mergeCell ref="R75:R77"/>
    <mergeCell ref="H78:I80"/>
    <mergeCell ref="P78:P80"/>
    <mergeCell ref="J81:J83"/>
    <mergeCell ref="K81:L83"/>
    <mergeCell ref="M81:M83"/>
    <mergeCell ref="P81:P83"/>
    <mergeCell ref="F69:G71"/>
    <mergeCell ref="C69:C71"/>
    <mergeCell ref="K69:L71"/>
    <mergeCell ref="H69:I71"/>
    <mergeCell ref="D69:E71"/>
    <mergeCell ref="F75:G77"/>
    <mergeCell ref="D75:E77"/>
    <mergeCell ref="B75:B77"/>
    <mergeCell ref="B78:B80"/>
    <mergeCell ref="C75:C77"/>
    <mergeCell ref="J75:J77"/>
    <mergeCell ref="M75:M77"/>
    <mergeCell ref="H75:I77"/>
    <mergeCell ref="J78:J80"/>
    <mergeCell ref="K78:L80"/>
    <mergeCell ref="Q69:Q71"/>
    <mergeCell ref="K60:L62"/>
    <mergeCell ref="H57:I59"/>
    <mergeCell ref="F57:G59"/>
    <mergeCell ref="F60:G62"/>
    <mergeCell ref="P69:P71"/>
    <mergeCell ref="J66:J68"/>
    <mergeCell ref="J60:J62"/>
    <mergeCell ref="K66:L68"/>
    <mergeCell ref="P63:P65"/>
    <mergeCell ref="J69:J71"/>
    <mergeCell ref="J57:J59"/>
    <mergeCell ref="K57:L59"/>
    <mergeCell ref="R63:R65"/>
    <mergeCell ref="P66:P68"/>
    <mergeCell ref="R66:R68"/>
    <mergeCell ref="Q66:Q68"/>
    <mergeCell ref="Q63:Q65"/>
    <mergeCell ref="J63:J65"/>
    <mergeCell ref="K63:L65"/>
    <mergeCell ref="M63:M65"/>
    <mergeCell ref="M66:M68"/>
    <mergeCell ref="A33:A35"/>
    <mergeCell ref="C33:C35"/>
    <mergeCell ref="A36:A38"/>
    <mergeCell ref="C36:C38"/>
    <mergeCell ref="A39:A41"/>
    <mergeCell ref="A42:A44"/>
    <mergeCell ref="A57:A59"/>
    <mergeCell ref="C57:C59"/>
    <mergeCell ref="B57:B59"/>
    <mergeCell ref="B36:B38"/>
    <mergeCell ref="B39:B41"/>
    <mergeCell ref="B33:B35"/>
    <mergeCell ref="A48:A50"/>
    <mergeCell ref="A54:A56"/>
    <mergeCell ref="C54:C56"/>
    <mergeCell ref="R60:R62"/>
    <mergeCell ref="R48:R50"/>
    <mergeCell ref="R57:R59"/>
    <mergeCell ref="Q60:Q62"/>
    <mergeCell ref="Q57:Q59"/>
    <mergeCell ref="P57:P59"/>
    <mergeCell ref="N48:N50"/>
    <mergeCell ref="O48:O50"/>
    <mergeCell ref="M48:M50"/>
    <mergeCell ref="P54:P56"/>
    <mergeCell ref="P60:P62"/>
    <mergeCell ref="M57:M59"/>
    <mergeCell ref="M54:M56"/>
    <mergeCell ref="M60:M62"/>
    <mergeCell ref="P48:P50"/>
    <mergeCell ref="R51:R53"/>
    <mergeCell ref="Q51:Q53"/>
    <mergeCell ref="Q54:Q56"/>
    <mergeCell ref="R54:R56"/>
    <mergeCell ref="H48:I50"/>
    <mergeCell ref="H39:I41"/>
    <mergeCell ref="A45:A47"/>
    <mergeCell ref="H42:I44"/>
    <mergeCell ref="B42:B44"/>
    <mergeCell ref="C42:C44"/>
    <mergeCell ref="D45:E47"/>
    <mergeCell ref="D48:E50"/>
    <mergeCell ref="F48:G50"/>
    <mergeCell ref="F45:G47"/>
    <mergeCell ref="H45:I47"/>
    <mergeCell ref="D39:E41"/>
    <mergeCell ref="C39:C41"/>
    <mergeCell ref="F39:G41"/>
    <mergeCell ref="B48:B50"/>
    <mergeCell ref="C48:C50"/>
    <mergeCell ref="B45:B47"/>
    <mergeCell ref="Q39:Q41"/>
    <mergeCell ref="R36:R38"/>
    <mergeCell ref="Q36:Q38"/>
    <mergeCell ref="R42:R44"/>
    <mergeCell ref="Q48:Q50"/>
    <mergeCell ref="M42:M44"/>
    <mergeCell ref="Q45:Q47"/>
    <mergeCell ref="P45:P47"/>
    <mergeCell ref="P42:P44"/>
    <mergeCell ref="D36:E38"/>
    <mergeCell ref="D33:E35"/>
    <mergeCell ref="H36:I38"/>
    <mergeCell ref="P36:P38"/>
    <mergeCell ref="K36:L38"/>
    <mergeCell ref="J45:J47"/>
    <mergeCell ref="R33:R35"/>
    <mergeCell ref="H33:I35"/>
    <mergeCell ref="C45:C47"/>
    <mergeCell ref="K42:L44"/>
    <mergeCell ref="K45:L47"/>
    <mergeCell ref="F36:G38"/>
    <mergeCell ref="F33:G35"/>
    <mergeCell ref="M45:M47"/>
    <mergeCell ref="J39:J41"/>
    <mergeCell ref="P39:P41"/>
    <mergeCell ref="J33:J35"/>
    <mergeCell ref="M33:M35"/>
    <mergeCell ref="M39:M41"/>
    <mergeCell ref="R39:R41"/>
    <mergeCell ref="Q33:Q35"/>
    <mergeCell ref="R45:R47"/>
    <mergeCell ref="P33:P35"/>
    <mergeCell ref="Q42:Q44"/>
    <mergeCell ref="R24:R26"/>
    <mergeCell ref="P24:P26"/>
    <mergeCell ref="Q24:Q26"/>
    <mergeCell ref="H24:I26"/>
    <mergeCell ref="R27:R29"/>
    <mergeCell ref="R30:R32"/>
    <mergeCell ref="Q27:Q29"/>
    <mergeCell ref="P27:P29"/>
    <mergeCell ref="Q30:Q32"/>
    <mergeCell ref="H30:I32"/>
    <mergeCell ref="K27:L29"/>
    <mergeCell ref="M27:M29"/>
    <mergeCell ref="J27:J29"/>
    <mergeCell ref="P30:P32"/>
    <mergeCell ref="K30:L32"/>
    <mergeCell ref="J30:J32"/>
    <mergeCell ref="M30:M32"/>
    <mergeCell ref="A27:A29"/>
    <mergeCell ref="D27:E29"/>
    <mergeCell ref="A30:A32"/>
    <mergeCell ref="F30:G32"/>
    <mergeCell ref="B30:B32"/>
    <mergeCell ref="D30:E32"/>
    <mergeCell ref="B27:B29"/>
    <mergeCell ref="H27:I29"/>
    <mergeCell ref="F27:G29"/>
    <mergeCell ref="C27:C29"/>
    <mergeCell ref="C30:C32"/>
    <mergeCell ref="P21:P23"/>
    <mergeCell ref="Q21:Q23"/>
    <mergeCell ref="P18:P20"/>
    <mergeCell ref="M21:M23"/>
    <mergeCell ref="F21:G23"/>
    <mergeCell ref="J24:J26"/>
    <mergeCell ref="M24:M26"/>
    <mergeCell ref="K24:L26"/>
    <mergeCell ref="A21:A23"/>
    <mergeCell ref="C21:C23"/>
    <mergeCell ref="A24:A26"/>
    <mergeCell ref="B24:B26"/>
    <mergeCell ref="C24:C26"/>
    <mergeCell ref="D24:E26"/>
    <mergeCell ref="F24:G26"/>
    <mergeCell ref="R21:R23"/>
    <mergeCell ref="A9:A11"/>
    <mergeCell ref="M18:M20"/>
    <mergeCell ref="M15:M17"/>
    <mergeCell ref="K18:L20"/>
    <mergeCell ref="H18:I20"/>
    <mergeCell ref="J18:J20"/>
    <mergeCell ref="D18:E20"/>
    <mergeCell ref="H15:I17"/>
    <mergeCell ref="D21:E23"/>
    <mergeCell ref="J21:J23"/>
    <mergeCell ref="A15:A17"/>
    <mergeCell ref="C18:C20"/>
    <mergeCell ref="A18:A20"/>
    <mergeCell ref="A12:A14"/>
    <mergeCell ref="F18:G20"/>
    <mergeCell ref="B21:B23"/>
    <mergeCell ref="M12:M14"/>
    <mergeCell ref="K21:L23"/>
    <mergeCell ref="H21:I23"/>
    <mergeCell ref="M9:M11"/>
    <mergeCell ref="B18:B20"/>
    <mergeCell ref="P12:P14"/>
    <mergeCell ref="Q15:Q17"/>
    <mergeCell ref="A7:A8"/>
    <mergeCell ref="N7:O8"/>
    <mergeCell ref="F7:G8"/>
    <mergeCell ref="J7:J8"/>
    <mergeCell ref="K7:L8"/>
    <mergeCell ref="D7:E8"/>
    <mergeCell ref="C7:C8"/>
    <mergeCell ref="M7:M8"/>
    <mergeCell ref="R18:R20"/>
    <mergeCell ref="Q18:Q20"/>
    <mergeCell ref="Q7:R7"/>
    <mergeCell ref="R9:R11"/>
    <mergeCell ref="R12:R14"/>
    <mergeCell ref="Q9:Q11"/>
    <mergeCell ref="R15:R17"/>
    <mergeCell ref="P9:P11"/>
    <mergeCell ref="Q12:Q14"/>
    <mergeCell ref="P7:P8"/>
    <mergeCell ref="P15:P17"/>
    <mergeCell ref="B15:B17"/>
    <mergeCell ref="B9:B11"/>
    <mergeCell ref="J12:J14"/>
    <mergeCell ref="J15:J17"/>
    <mergeCell ref="H12:I14"/>
    <mergeCell ref="F12:G14"/>
    <mergeCell ref="B12:B14"/>
    <mergeCell ref="E5:M5"/>
    <mergeCell ref="H7:I8"/>
    <mergeCell ref="B7:B8"/>
    <mergeCell ref="C15:C17"/>
    <mergeCell ref="F15:G17"/>
    <mergeCell ref="F9:G11"/>
    <mergeCell ref="D15:E17"/>
    <mergeCell ref="J9:J11"/>
    <mergeCell ref="H9:I11"/>
    <mergeCell ref="D9:E11"/>
    <mergeCell ref="K12:L14"/>
    <mergeCell ref="K9:L11"/>
    <mergeCell ref="K15:L17"/>
    <mergeCell ref="C9:C11"/>
    <mergeCell ref="C12:C14"/>
    <mergeCell ref="D12:E14"/>
    <mergeCell ref="Q81:Q83"/>
    <mergeCell ref="R81:R83"/>
    <mergeCell ref="A81:A83"/>
    <mergeCell ref="D81:E83"/>
    <mergeCell ref="C81:C83"/>
    <mergeCell ref="F81:G83"/>
    <mergeCell ref="B81:B83"/>
    <mergeCell ref="H81:I83"/>
    <mergeCell ref="P72:P74"/>
    <mergeCell ref="Q72:Q74"/>
    <mergeCell ref="R72:R74"/>
    <mergeCell ref="A72:A74"/>
    <mergeCell ref="B72:B74"/>
    <mergeCell ref="C72:C74"/>
    <mergeCell ref="D72:E74"/>
    <mergeCell ref="F72:G74"/>
    <mergeCell ref="H72:I74"/>
    <mergeCell ref="J72:J74"/>
    <mergeCell ref="K72:L74"/>
    <mergeCell ref="M72:M74"/>
    <mergeCell ref="M78:M80"/>
    <mergeCell ref="P75:P77"/>
    <mergeCell ref="K75:L77"/>
    <mergeCell ref="A78:A80"/>
    <mergeCell ref="F54:G56"/>
    <mergeCell ref="H54:I56"/>
    <mergeCell ref="B54:B56"/>
    <mergeCell ref="A97:P97"/>
    <mergeCell ref="B86:C87"/>
    <mergeCell ref="F86:F87"/>
    <mergeCell ref="B88:E88"/>
    <mergeCell ref="B89:C90"/>
    <mergeCell ref="F89:G90"/>
    <mergeCell ref="G86:G87"/>
    <mergeCell ref="A66:A68"/>
    <mergeCell ref="A60:A62"/>
    <mergeCell ref="B60:B62"/>
    <mergeCell ref="B66:B68"/>
    <mergeCell ref="B63:B65"/>
    <mergeCell ref="A63:A65"/>
    <mergeCell ref="B69:B71"/>
    <mergeCell ref="M69:M71"/>
    <mergeCell ref="A69:A71"/>
    <mergeCell ref="A93:P93"/>
    <mergeCell ref="D78:E80"/>
    <mergeCell ref="C78:C80"/>
    <mergeCell ref="F78:G80"/>
    <mergeCell ref="A75:A77"/>
    <mergeCell ref="F51:G53"/>
    <mergeCell ref="H51:I53"/>
    <mergeCell ref="J51:J53"/>
    <mergeCell ref="K51:L53"/>
    <mergeCell ref="M51:M53"/>
    <mergeCell ref="N51:N53"/>
    <mergeCell ref="O51:O53"/>
    <mergeCell ref="P51:P53"/>
    <mergeCell ref="A51:A53"/>
    <mergeCell ref="B51:B53"/>
    <mergeCell ref="C51:C53"/>
    <mergeCell ref="D51:E53"/>
  </mergeCells>
  <phoneticPr fontId="34" type="noConversion"/>
  <conditionalFormatting sqref="O9">
    <cfRule type="expression" dxfId="146" priority="738" stopIfTrue="1">
      <formula>LEN(TRIM(O9))=0</formula>
    </cfRule>
  </conditionalFormatting>
  <conditionalFormatting sqref="O12">
    <cfRule type="expression" dxfId="145" priority="162" stopIfTrue="1">
      <formula>LEN(TRIM(O12))=0</formula>
    </cfRule>
  </conditionalFormatting>
  <conditionalFormatting sqref="O15:O16">
    <cfRule type="expression" dxfId="144" priority="161" stopIfTrue="1">
      <formula>LEN(TRIM(O15))=0</formula>
    </cfRule>
  </conditionalFormatting>
  <conditionalFormatting sqref="O18">
    <cfRule type="expression" dxfId="143" priority="90" stopIfTrue="1">
      <formula>LEN(TRIM(O18))=0</formula>
    </cfRule>
  </conditionalFormatting>
  <conditionalFormatting sqref="O21:O22">
    <cfRule type="expression" dxfId="142" priority="62" stopIfTrue="1">
      <formula>LEN(TRIM(O21))=0</formula>
    </cfRule>
  </conditionalFormatting>
  <conditionalFormatting sqref="O24:O25">
    <cfRule type="expression" dxfId="141" priority="236" stopIfTrue="1">
      <formula>LEN(TRIM(O24))=0</formula>
    </cfRule>
  </conditionalFormatting>
  <conditionalFormatting sqref="O27:O28">
    <cfRule type="expression" dxfId="140" priority="235" stopIfTrue="1">
      <formula>LEN(TRIM(O27))=0</formula>
    </cfRule>
  </conditionalFormatting>
  <conditionalFormatting sqref="O30:O31">
    <cfRule type="expression" dxfId="139" priority="234" stopIfTrue="1">
      <formula>LEN(TRIM(O30))=0</formula>
    </cfRule>
  </conditionalFormatting>
  <conditionalFormatting sqref="O33:O34">
    <cfRule type="expression" dxfId="138" priority="72" stopIfTrue="1">
      <formula>LEN(TRIM(O33))=0</formula>
    </cfRule>
  </conditionalFormatting>
  <conditionalFormatting sqref="O36">
    <cfRule type="expression" dxfId="137" priority="89" stopIfTrue="1">
      <formula>LEN(TRIM(O36))=0</formula>
    </cfRule>
  </conditionalFormatting>
  <conditionalFormatting sqref="O39">
    <cfRule type="expression" dxfId="136" priority="88" stopIfTrue="1">
      <formula>LEN(TRIM(O39))=0</formula>
    </cfRule>
  </conditionalFormatting>
  <conditionalFormatting sqref="O45">
    <cfRule type="expression" dxfId="135" priority="232" stopIfTrue="1">
      <formula>LEN(TRIM(O45))=0</formula>
    </cfRule>
  </conditionalFormatting>
  <conditionalFormatting sqref="O54:O55">
    <cfRule type="expression" dxfId="134" priority="37">
      <formula>LEN(TRIM(O54))=0</formula>
    </cfRule>
  </conditionalFormatting>
  <conditionalFormatting sqref="O57:O58">
    <cfRule type="expression" dxfId="133" priority="95" stopIfTrue="1">
      <formula>LEN(TRIM(O57))=0</formula>
    </cfRule>
  </conditionalFormatting>
  <conditionalFormatting sqref="O63:O64">
    <cfRule type="expression" dxfId="132" priority="61" stopIfTrue="1">
      <formula>LEN(TRIM(O63))=0</formula>
    </cfRule>
  </conditionalFormatting>
  <conditionalFormatting sqref="O66:O67">
    <cfRule type="expression" dxfId="131" priority="60" stopIfTrue="1">
      <formula>LEN(TRIM(O66))=0</formula>
    </cfRule>
  </conditionalFormatting>
  <conditionalFormatting sqref="O69:O70">
    <cfRule type="expression" dxfId="130" priority="231" stopIfTrue="1">
      <formula>LEN(TRIM(O69))=0</formula>
    </cfRule>
  </conditionalFormatting>
  <conditionalFormatting sqref="O72:O73">
    <cfRule type="expression" dxfId="129" priority="18" stopIfTrue="1">
      <formula>LEN(TRIM(O72))=0</formula>
    </cfRule>
  </conditionalFormatting>
  <conditionalFormatting sqref="O75:O76">
    <cfRule type="expression" dxfId="128" priority="217" stopIfTrue="1">
      <formula>LEN(TRIM(O75))=0</formula>
    </cfRule>
  </conditionalFormatting>
  <conditionalFormatting sqref="O78">
    <cfRule type="expression" dxfId="127" priority="83" stopIfTrue="1">
      <formula>LEN(TRIM(O78))=0</formula>
    </cfRule>
  </conditionalFormatting>
  <conditionalFormatting sqref="O81:O82">
    <cfRule type="expression" dxfId="126" priority="16" stopIfTrue="1">
      <formula>LEN(TRIM(O81))=0</formula>
    </cfRule>
  </conditionalFormatting>
  <conditionalFormatting sqref="P9:P11">
    <cfRule type="cellIs" dxfId="125" priority="722" stopIfTrue="1" operator="equal">
      <formula>"Sollvorgabe nicht erfüllt"</formula>
    </cfRule>
    <cfRule type="cellIs" dxfId="124" priority="723" stopIfTrue="1" operator="equal">
      <formula>"I.O."</formula>
    </cfRule>
  </conditionalFormatting>
  <conditionalFormatting sqref="P9:P14">
    <cfRule type="cellIs" dxfId="123" priority="472" stopIfTrue="1" operator="equal">
      <formula>"I.O. (Plausibilität unklar)"</formula>
    </cfRule>
  </conditionalFormatting>
  <conditionalFormatting sqref="P9:P35 P39:P83">
    <cfRule type="expression" dxfId="122" priority="20" stopIfTrue="1">
      <formula>OR(P9=$D$90,P9=$D$89)</formula>
    </cfRule>
    <cfRule type="cellIs" dxfId="121" priority="721" operator="equal">
      <formula>"Ausnahme (Plausibilität unklar)"</formula>
    </cfRule>
  </conditionalFormatting>
  <conditionalFormatting sqref="P12:P14">
    <cfRule type="cellIs" dxfId="120" priority="474" stopIfTrue="1" operator="equal">
      <formula>"I.O."</formula>
    </cfRule>
  </conditionalFormatting>
  <conditionalFormatting sqref="P12:P17">
    <cfRule type="cellIs" dxfId="119" priority="4" stopIfTrue="1" operator="equal">
      <formula>"Sollvorgabe nicht erfüllt"</formula>
    </cfRule>
  </conditionalFormatting>
  <conditionalFormatting sqref="P15:P17">
    <cfRule type="cellIs" dxfId="118" priority="6" stopIfTrue="1" operator="equal">
      <formula>"I.O. (Plausibilität unklar)"</formula>
    </cfRule>
    <cfRule type="cellIs" dxfId="117" priority="7" stopIfTrue="1" operator="equal">
      <formula>"I.O."</formula>
    </cfRule>
  </conditionalFormatting>
  <conditionalFormatting sqref="P15:P35 P39:P83">
    <cfRule type="cellIs" dxfId="116" priority="41" stopIfTrue="1" operator="equal">
      <formula>"Sollvorgabe nicht erfüllt"</formula>
    </cfRule>
  </conditionalFormatting>
  <conditionalFormatting sqref="P18:P35 P39:P83">
    <cfRule type="cellIs" dxfId="115" priority="40" stopIfTrue="1" operator="equal">
      <formula>"I.O. (Plausibilität unklar)"</formula>
    </cfRule>
    <cfRule type="cellIs" dxfId="114" priority="42" stopIfTrue="1" operator="equal">
      <formula>"I.O."</formula>
    </cfRule>
  </conditionalFormatting>
  <conditionalFormatting sqref="P30:P35">
    <cfRule type="cellIs" dxfId="113" priority="30" stopIfTrue="1" operator="equal">
      <formula>"I.O. (Plausibilität unklar)"</formula>
    </cfRule>
    <cfRule type="cellIs" dxfId="112" priority="31" stopIfTrue="1" operator="equal">
      <formula>"Sollvorgabe nicht erfüllt"</formula>
    </cfRule>
    <cfRule type="cellIs" dxfId="111" priority="32" stopIfTrue="1" operator="equal">
      <formula>"I.O."</formula>
    </cfRule>
  </conditionalFormatting>
  <conditionalFormatting sqref="P36:P38">
    <cfRule type="expression" dxfId="110" priority="3">
      <formula>OR(P9=$D$90,P9=$D$89)</formula>
    </cfRule>
    <cfRule type="cellIs" dxfId="109" priority="2" operator="equal">
      <formula>"I.O."</formula>
    </cfRule>
    <cfRule type="cellIs" dxfId="108" priority="1" operator="equal">
      <formula>"Sollvorgabe nicht erfüllt"</formula>
    </cfRule>
  </conditionalFormatting>
  <conditionalFormatting sqref="Q9:Q83">
    <cfRule type="notContainsBlanks" dxfId="107" priority="9" stopIfTrue="1">
      <formula>LEN(TRIM(Q9))&gt;0</formula>
    </cfRule>
    <cfRule type="expression" dxfId="106" priority="15" stopIfTrue="1">
      <formula>OR($P9="Unvollständig",$P9="Sollvorgabe nicht erfüllt",$P9="I.O. (Plausibilität unklar)",$P9="Ausnahme (Plausibilität unklar)",$P9="optional - unvollständig",$P9="optional - Sollvorgabe nicht erfüllt",$P9="optional - I.O. (Plausibilität unklar)", $P9="optional - I.O. (Plausibilität unklar)",$P9="optional - Ausnahme (Plausibilität unklar)")</formula>
    </cfRule>
  </conditionalFormatting>
  <dataValidations xWindow="355" yWindow="836" count="26">
    <dataValidation errorStyle="information" allowBlank="1" showInputMessage="1" showErrorMessage="1" errorTitle="Kennzahl" promptTitle="Kennzahl" sqref="A7:B8"/>
    <dataValidation type="custom" operator="equal" showInputMessage="1" showErrorMessage="1" errorTitle="Eingabefehler" error="1. Nenner muss eine positive ganze Zahl sein. _x000a_2. Nenner kann nicht kleiner als Zähler sein." sqref="O76">
      <formula1>IF(ISNUMBER(O76),IF(O76&gt;0,IF(AND(O76&gt;=O75,O76&lt;5001),O76,FALSE),FALSE),FALSE)</formula1>
    </dataValidation>
    <dataValidation type="whole" showInputMessage="1" showErrorMessage="1" errorTitle="Eingabefehler" error="1. Nenner muss eine positive ganze Zahl sein._x000a_2. Nenner kann nicht kleiner als Zähler sein." sqref="O16">
      <formula1>O15</formula1>
      <formula2>5000</formula2>
    </dataValidation>
    <dataValidation type="whole" showInputMessage="1" showErrorMessage="1" errorTitle="Eingabefehler" error="1. Zähler muss eine positive ganze Zahl sein._x000a_2. Zähler kann nicht größer als Nenner sein." sqref="O75 O15 O33">
      <formula1>0</formula1>
      <formula2>IF(O16="",5000,O16)</formula2>
    </dataValidation>
    <dataValidation errorStyle="information" allowBlank="1" showInputMessage="1" showErrorMessage="1" sqref="P9:P11"/>
    <dataValidation type="textLength" allowBlank="1" showInputMessage="1" showErrorMessage="1" errorTitle="Zeichenlänge" error="Minimal 30 Zeichen und max. 500 Zeichen." promptTitle="Hinweis" prompt="Wenn die Datenqualität nicht &quot;I.O.&quot;, ist der Kennzahlenwert zu begründen." sqref="Q9:Q11">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9 O18 O78 O12 O36 O39">
      <formula1>0</formula1>
      <formula2>IF(O10="",0,O10)</formula2>
    </dataValidation>
    <dataValidation type="custom" operator="equal" showInputMessage="1" showErrorMessage="1" errorTitle="Eingabefehler" error="1. Tabellenblatt Basisdaten muss vollständig ausgefüllt sein!_x000a_2.Nenner muss eine pos. ganze Zahl sein. _x000a_3.Nenner kann nicht kleiner als Zähler sein._x000a_4.Nenner kann nicht größer sein als Anzahl PF N+, nicht zuzuordnen." sqref="O25">
      <formula1>IF(ISNUMBER(O25),IF(O25&gt;0,IF(AND(O25&gt;=O24,O25&lt;=$S$25),O25,FALSE),FALSE),FALSE)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 sqref="O21">
      <formula1>0</formula1>
      <formula2>IF(O22="",IF($O$48="",0,$O$48),O22)</formula2>
    </dataValidation>
    <dataValidation showInputMessage="1" showErrorMessage="1" errorTitle="Eingabefehler" error="1. Tabellenblatt Basisdaten muss vollständig ausgefüllt sein!_x000a_2. Zähler muss eine positive ganze Zahl sein." sqref="O42"/>
    <dataValidation type="whole" showInputMessage="1" showErrorMessage="1" errorTitle="Eingabefehler" error="1. Tabellenblatt Basisdaten muss vollständig ausgefüllt sein!_x000a_2. Nenner muss eine positive ganze Zahl sein._x000a_3. Nenner kann nicht kleiner als Zähler sein._x000a_4. Nenner kann nicht größer sein als Operative Primärfälle mit BET." sqref="O22 O64">
      <formula1>O21</formula1>
      <formula2>S22</formula2>
    </dataValidation>
    <dataValidation type="custom" showErrorMessage="1" errorTitle="Eingabefehler" error="1.Tabellenblatt Basisdaten muss vollständig ausgefüllt sein!_x000a_2.Nenner muss eine pos. ganze Zahl sein._x000a_3.Nenner kann nicht &lt; als Zähler sein._x000a_4.Nenner kann nicht &gt; sein als die operierte PF T1-T4, N+, M1 und nicht zuzuordnen." sqref="O67">
      <formula1>IF(ISNUMBER(O67),IF(O67&gt;0,IF(AND(O67&gt;=O66,O67&lt;=$S$66),O67,FALSE),FALSE),FALSE)</formula1>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PF T1-T4, M1, nicht zuzuordnen." sqref="O70">
      <formula1>O69</formula1>
      <formula2>S70</formula2>
    </dataValidation>
    <dataValidation type="textLength" allowBlank="1" showInputMessage="1" showErrorMessage="1" errorTitle="Zeichenlänge" error="Minimal 30 Zeichen und max. 200 Zeichen." sqref="Q84:R91">
      <formula1>30</formula1>
      <formula2>200</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Operierte Primärfälle." sqref="O58">
      <formula1>IF(ISNUMBER(O58),IF(O58&gt;0,IF(AND(O58&gt;=O57,O58&lt;=$O$61),O58,FALSE),FALSE),FALSE)</formula1>
    </dataValidation>
    <dataValidation type="whole" showInputMessage="1" showErrorMessage="1" errorTitle="Eingabefehler" error="1. Nenner muss eine positive ganze Zahl sein. _x000a_2. Nenner kann nicht kleiner als Zähler sein." sqref="O34">
      <formula1>O33</formula1>
      <formula2>5000</formula2>
    </dataValidation>
    <dataValidation showInputMessage="1" showErrorMessage="1" sqref="O46"/>
    <dataValidation type="whole" showInputMessage="1" showErrorMessage="1" errorTitle="Eingabefehler" error="1.Tabellenblatt Basisdaten muss vollständig ausgefüllt sein!_x000a_2. Zähler muss eine positive ganze Zahl sein._x000a_3. Zähler kann nicht größer als Nenner sein." sqref="O45">
      <formula1>0</formula1>
      <formula2>IF(O46="",5000,O46)</formula2>
    </dataValidation>
    <dataValidation type="custom" showInputMessage="1" showErrorMessage="1" errorTitle="Eingabefehler" error="1. Tabellenblatt Basisdaten muss vollständig ausgefüllt sein!_x000a_1. Nenner muss eine positive ganze Zahl sein. _x000a_2. Nenner kann nicht kleiner als Zähler sein._x000a_3. Nenner kann nicht größer als Gesamt operierte PF mit BET sein." sqref="O55">
      <formula1>IF(ISNUMBER(O55),IF(O55&gt;0,IF(AND(O55&gt;=O54,O55&lt;=$S$55),O55,FALSE),FALSE),FALSE)</formula1>
    </dataValidation>
    <dataValidation type="textLength" allowBlank="1" showInputMessage="1" showErrorMessage="1" errorTitle="Zeichenlänge" error="Minimal 30 Zeichen und max. 500 Zeichen." sqref="Q12:Q20 R9:R20 Q21:R72 Q75:R81">
      <formula1>30</formula1>
      <formula2>500</formula2>
    </dataValidation>
    <dataValidation type="whole" showInputMessage="1" showErrorMessage="1" errorTitle="Eingabefehler" error="1. Tabellenblatt Basisdaten muss vollständig ausgefüllt sein!_x000a_2.Nenner muss eine pos. ganze Zahl sein. _x000a_3.Nenner kann nicht kleiner als Zähler sein._x000a_4.Nenner kann nicht größer sein als Anzahl PF T1-T4, N+, nicht zuzuordnen." sqref="O31">
      <formula1>IF(O30="",0,O30)</formula1>
      <formula2>$S$31</formula2>
    </dataValidation>
    <dataValidation type="custom" operator="equal" showInputMessage="1" showErrorMessage="1" errorTitle="Eingabefehler" error="1.Tabellenblatt Basisdaten muss vollständig ausgefüllt sein!_x000a_2.Nenner muss eine pos. ganze Zahl sein. _x000a_3.Nenner kann nicht kleiner als Zähler sein._x000a_4.Nenner kann nicht größer sein als Anzahl PF T1-T4, N+, nicht zuzuordnen." sqref="O28">
      <formula1>IF(ISNUMBER(O28),IF(O28&gt;0,IF(AND(O28&gt;=O27,O28&lt;=$S$28),O28,FALSE),FALSE),FALSE)</formula1>
    </dataValidation>
    <dataValidation type="whole" showErrorMessage="1" errorTitle="Eingabefehler" error="1. Tabellenblatt Basisdaten muss vollständig ausgefüllt sein!_x000a_2. Zähler muss eine positive ganze Zahl sein._x000a_3. Zähler kann nicht größer als Nenner sein." sqref="O81 O72 O69">
      <formula1>0</formula1>
      <formula2>IF(O70="",5000,O70)</formula2>
    </dataValidation>
    <dataValidation type="whole" showErrorMessage="1" errorTitle="Eingabefehler" error="_x000a_1. Tabellenblatt Basisdaten muss vollständig ausgefüllt sein!_x000a_1. Nenner muss eine pos. ganze Zahl sein._x000a_2. Nenner kann nicht &lt; als Zähler sein._x000a_3. Nenner kann nicht &gt; sein als die PF mit N+, M1 und nicht zuzuordnen." sqref="O82">
      <formula1>O81</formula1>
      <formula2>S82</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PF T1-T4, M1, nicht zuzuordnen." sqref="O73">
      <formula1>O72</formula1>
      <formula2>$S$70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4 O27 O30 O54 O57 O63 O66">
      <formula1>0</formula1>
      <formula2>IF(O25="",5000,O25)</formula2>
    </dataValidation>
  </dataValidations>
  <pageMargins left="0.39370078740157483" right="7.874015748031496E-2" top="0.59055118110236227" bottom="0.39370078740157483" header="0.11811023622047245" footer="0.11811023622047245"/>
  <pageSetup paperSize="9" scale="95" orientation="landscape" r:id="rId1"/>
  <headerFooter>
    <oddFooter xml:space="preserve">&amp;L&amp;"Arial,Regular"&amp;7&amp;F&amp;C&amp;"Arial,Regular"&amp;7 © DKG  Alle Rechte vorbehalten&amp;R&amp;"Arial,Regular"&amp;7&amp;P       </oddFooter>
  </headerFooter>
  <rowBreaks count="6" manualBreakCount="6">
    <brk id="20" max="15" man="1"/>
    <brk id="32" max="15" man="1"/>
    <brk id="44" max="15" man="1"/>
    <brk id="56" max="15" man="1"/>
    <brk id="68" max="15" man="1"/>
    <brk id="80" max="15" man="1"/>
  </rowBreaks>
  <ignoredErrors>
    <ignoredError sqref="B58:B59 B13:B14 B70:B71 B64:B65 B43:B44 B19:B20 B76:B77 B46:B47 B49:B50 B67:B68 B79:B80" twoDigitTextYear="1"/>
    <ignoredError sqref="S19" formulaRange="1"/>
    <ignoredError sqref="A18:A23" numberStoredAsText="1"/>
  </ignoredError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3:O157"/>
  <sheetViews>
    <sheetView topLeftCell="A57" zoomScaleNormal="100" workbookViewId="0">
      <selection activeCell="Q88" sqref="Q88"/>
    </sheetView>
  </sheetViews>
  <sheetFormatPr baseColWidth="10" defaultColWidth="11.42578125" defaultRowHeight="11.25" x14ac:dyDescent="0.2"/>
  <cols>
    <col min="1" max="1" width="9.140625" style="278" customWidth="1"/>
    <col min="2" max="2" width="14.85546875" style="278" customWidth="1"/>
    <col min="3" max="3" width="9.140625" style="278" customWidth="1"/>
    <col min="4" max="4" width="16.28515625" style="278" customWidth="1"/>
    <col min="5" max="5" width="18.42578125" style="278" customWidth="1"/>
    <col min="6" max="6" width="15.42578125" style="278" customWidth="1"/>
    <col min="7" max="7" width="16.7109375" style="278" customWidth="1"/>
    <col min="8" max="9" width="20.28515625" style="278" customWidth="1"/>
    <col min="10" max="10" width="17.7109375" style="278" customWidth="1"/>
    <col min="11" max="11" width="15.42578125" style="278" customWidth="1"/>
    <col min="12" max="12" width="16.28515625" style="278" customWidth="1"/>
    <col min="13" max="256" width="9.140625" style="278" customWidth="1"/>
    <col min="257" max="16384" width="11.42578125" style="278"/>
  </cols>
  <sheetData>
    <row r="3" spans="2:15" x14ac:dyDescent="0.2">
      <c r="C3" s="277" t="s">
        <v>452</v>
      </c>
      <c r="M3" s="279"/>
      <c r="N3" s="279"/>
      <c r="O3" s="279"/>
    </row>
    <row r="4" spans="2:15" x14ac:dyDescent="0.2">
      <c r="D4" s="280" t="s">
        <v>440</v>
      </c>
      <c r="I4" s="280"/>
      <c r="M4" s="279"/>
      <c r="N4" s="279"/>
      <c r="O4" s="279"/>
    </row>
    <row r="5" spans="2:15" ht="22.5" x14ac:dyDescent="0.2">
      <c r="C5" s="329" t="s">
        <v>450</v>
      </c>
      <c r="D5" s="329" t="s">
        <v>451</v>
      </c>
      <c r="E5" s="329" t="s">
        <v>277</v>
      </c>
      <c r="F5" s="329" t="s">
        <v>463</v>
      </c>
      <c r="G5" s="329" t="s">
        <v>461</v>
      </c>
      <c r="H5" s="329" t="s">
        <v>891</v>
      </c>
      <c r="I5" s="329" t="s">
        <v>297</v>
      </c>
      <c r="J5" s="340"/>
      <c r="K5" s="329" t="s">
        <v>892</v>
      </c>
      <c r="M5" s="279"/>
      <c r="N5" s="279"/>
      <c r="O5" s="279"/>
    </row>
    <row r="6" spans="2:15" ht="14.25" x14ac:dyDescent="0.2">
      <c r="C6" s="329">
        <f>COUNTIF('Kennzahlenbogen_(KB)'!$P$9:$P$81,C5)</f>
        <v>0</v>
      </c>
      <c r="D6" s="329">
        <f>COUNTIF('Kennzahlenbogen_(KB)'!$P$9:$P$81,D5)</f>
        <v>0</v>
      </c>
      <c r="E6" s="329">
        <f>COUNTIF('Kennzahlenbogen_(KB)'!$P$9:$P$81,E5)</f>
        <v>0</v>
      </c>
      <c r="F6" s="329">
        <f>COUNTIF('Kennzahlenbogen_(KB)'!$P$9:$P$81,F5)</f>
        <v>25</v>
      </c>
      <c r="G6" s="329">
        <f>COUNTIF('Kennzahlenbogen_(KB)'!$P$9:$P$81,G5)</f>
        <v>0</v>
      </c>
      <c r="H6" s="329">
        <f>COUNTIF('Kennzahlenbogen_(KB)'!$P$9:$P$81,H5)</f>
        <v>0</v>
      </c>
      <c r="I6" s="329">
        <f>SUM(D6:H6)</f>
        <v>25</v>
      </c>
      <c r="J6" s="340"/>
      <c r="K6" s="329">
        <f>D6+H6</f>
        <v>0</v>
      </c>
      <c r="M6" s="279"/>
      <c r="N6" s="279"/>
      <c r="O6" s="279"/>
    </row>
    <row r="7" spans="2:15" ht="14.25" x14ac:dyDescent="0.2">
      <c r="C7" s="329"/>
      <c r="D7" s="329">
        <f>C6+D6+H6</f>
        <v>0</v>
      </c>
      <c r="E7" s="329">
        <f>E6</f>
        <v>0</v>
      </c>
      <c r="F7" s="329"/>
      <c r="G7" s="329">
        <f>F6+G6</f>
        <v>25</v>
      </c>
      <c r="H7" s="329"/>
      <c r="I7" s="329">
        <f>SUM(D7:H7)</f>
        <v>25</v>
      </c>
      <c r="J7" s="340"/>
      <c r="K7" s="329"/>
      <c r="M7" s="279"/>
      <c r="N7" s="279"/>
      <c r="O7" s="279"/>
    </row>
    <row r="8" spans="2:15" ht="14.25" x14ac:dyDescent="0.2">
      <c r="B8" s="5" t="s">
        <v>874</v>
      </c>
      <c r="C8" s="329"/>
      <c r="D8" s="329"/>
      <c r="E8" s="329">
        <f>D7+E7</f>
        <v>0</v>
      </c>
      <c r="F8" s="329"/>
      <c r="G8" s="329">
        <f>G7</f>
        <v>25</v>
      </c>
      <c r="H8" s="329"/>
      <c r="I8" s="329">
        <f>SUM(D8:H8)</f>
        <v>25</v>
      </c>
      <c r="J8" s="340"/>
      <c r="K8" s="329"/>
      <c r="M8" s="279"/>
      <c r="N8" s="279"/>
      <c r="O8" s="279"/>
    </row>
    <row r="9" spans="2:15" ht="14.25" x14ac:dyDescent="0.2">
      <c r="B9" s="305">
        <v>25</v>
      </c>
      <c r="C9" s="341">
        <f t="shared" ref="C9:G9" si="0">ROUND(C6/$B$9,4)</f>
        <v>0</v>
      </c>
      <c r="D9" s="341">
        <f t="shared" si="0"/>
        <v>0</v>
      </c>
      <c r="E9" s="341">
        <f t="shared" si="0"/>
        <v>0</v>
      </c>
      <c r="F9" s="341">
        <f t="shared" si="0"/>
        <v>1</v>
      </c>
      <c r="G9" s="341">
        <f t="shared" si="0"/>
        <v>0</v>
      </c>
      <c r="H9" s="341">
        <f>ROUND(H6/$B$9,4)</f>
        <v>0</v>
      </c>
      <c r="I9" s="341">
        <f>SUM(C9:H9)</f>
        <v>1</v>
      </c>
      <c r="J9" s="340"/>
      <c r="K9" s="341">
        <f>D9+H9</f>
        <v>0</v>
      </c>
      <c r="M9" s="279"/>
      <c r="N9" s="279"/>
      <c r="O9" s="279"/>
    </row>
    <row r="10" spans="2:15" ht="14.25" x14ac:dyDescent="0.2">
      <c r="C10" s="342"/>
      <c r="D10" s="341">
        <f>ROUND((C6+D6+H6)/$B$9,4)</f>
        <v>0</v>
      </c>
      <c r="E10" s="341">
        <f>ROUND(E6/$B$9,4)</f>
        <v>0</v>
      </c>
      <c r="F10" s="341"/>
      <c r="G10" s="341">
        <f>ROUND((F6+G6)/$B$9,4)</f>
        <v>1</v>
      </c>
      <c r="H10" s="341"/>
      <c r="I10" s="341">
        <f>SUM(D10:G10)</f>
        <v>1</v>
      </c>
      <c r="J10" s="340"/>
      <c r="K10" s="341"/>
      <c r="M10" s="279"/>
      <c r="N10" s="279"/>
      <c r="O10" s="279"/>
    </row>
    <row r="11" spans="2:15" ht="14.25" x14ac:dyDescent="0.2">
      <c r="C11" s="340"/>
      <c r="D11" s="343"/>
      <c r="E11" s="341">
        <f>ROUND((C6+D6+E6+H6)/$B$9,4)</f>
        <v>0</v>
      </c>
      <c r="F11" s="343"/>
      <c r="G11" s="341">
        <f>G10</f>
        <v>1</v>
      </c>
      <c r="H11" s="341"/>
      <c r="I11" s="341">
        <f>SUM(D11:H11)</f>
        <v>1</v>
      </c>
      <c r="J11" s="340"/>
      <c r="K11" s="340"/>
      <c r="M11" s="279"/>
      <c r="N11" s="279"/>
      <c r="O11" s="279"/>
    </row>
    <row r="12" spans="2:15" x14ac:dyDescent="0.2">
      <c r="E12" s="281"/>
      <c r="G12" s="281"/>
      <c r="H12" s="281"/>
      <c r="I12" s="281"/>
      <c r="M12" s="279"/>
      <c r="N12" s="279"/>
      <c r="O12" s="279"/>
    </row>
    <row r="13" spans="2:15" x14ac:dyDescent="0.2">
      <c r="M13" s="279"/>
      <c r="N13" s="279"/>
      <c r="O13" s="279"/>
    </row>
    <row r="14" spans="2:15" x14ac:dyDescent="0.2">
      <c r="M14" s="279"/>
      <c r="N14" s="279"/>
      <c r="O14" s="279"/>
    </row>
    <row r="15" spans="2:15" x14ac:dyDescent="0.2">
      <c r="M15" s="279"/>
      <c r="N15" s="279"/>
      <c r="O15" s="279"/>
    </row>
    <row r="16" spans="2:15" x14ac:dyDescent="0.2">
      <c r="B16" s="786"/>
      <c r="C16" s="407" t="s">
        <v>453</v>
      </c>
      <c r="D16" s="408"/>
      <c r="E16" s="408"/>
      <c r="F16" s="408"/>
      <c r="G16" s="408"/>
      <c r="M16" s="279"/>
      <c r="N16" s="279"/>
      <c r="O16" s="279"/>
    </row>
    <row r="17" spans="2:15" ht="22.5" x14ac:dyDescent="0.2">
      <c r="B17" s="786"/>
      <c r="C17" s="409" t="s">
        <v>454</v>
      </c>
      <c r="D17" s="409" t="s">
        <v>455</v>
      </c>
      <c r="E17" s="409" t="s">
        <v>456</v>
      </c>
      <c r="F17" s="409" t="s">
        <v>457</v>
      </c>
      <c r="G17" s="409" t="s">
        <v>458</v>
      </c>
      <c r="M17" s="279"/>
      <c r="N17" s="279"/>
      <c r="O17" s="279"/>
    </row>
    <row r="18" spans="2:15" x14ac:dyDescent="0.2">
      <c r="C18" s="282"/>
      <c r="D18" s="282"/>
      <c r="E18" s="282"/>
      <c r="F18" s="282"/>
      <c r="G18" s="282"/>
      <c r="M18" s="279"/>
      <c r="N18" s="279"/>
      <c r="O18" s="279"/>
    </row>
    <row r="19" spans="2:15" x14ac:dyDescent="0.2">
      <c r="C19" s="282"/>
      <c r="D19" s="282"/>
      <c r="E19" s="282"/>
      <c r="F19" s="282"/>
      <c r="G19" s="282"/>
      <c r="M19" s="279"/>
      <c r="N19" s="279"/>
      <c r="O19" s="279"/>
    </row>
    <row r="20" spans="2:15" x14ac:dyDescent="0.2">
      <c r="C20" s="282"/>
      <c r="D20" s="282"/>
      <c r="E20" s="282"/>
      <c r="F20" s="282"/>
      <c r="G20" s="282"/>
      <c r="M20" s="279"/>
      <c r="N20" s="279"/>
      <c r="O20" s="279"/>
    </row>
    <row r="21" spans="2:15" hidden="1" x14ac:dyDescent="0.2">
      <c r="C21" s="68" t="s">
        <v>921</v>
      </c>
      <c r="D21" s="397"/>
      <c r="E21" s="397"/>
      <c r="F21" s="397"/>
      <c r="G21" s="397"/>
      <c r="H21" s="5"/>
      <c r="I21" s="5"/>
      <c r="J21" s="5"/>
      <c r="K21" s="5"/>
      <c r="L21" s="5"/>
    </row>
    <row r="22" spans="2:15" hidden="1" x14ac:dyDescent="0.2">
      <c r="C22" s="5" t="s">
        <v>922</v>
      </c>
      <c r="D22" s="397"/>
      <c r="E22" s="397"/>
      <c r="F22" s="397"/>
      <c r="G22" s="397"/>
      <c r="H22" s="5"/>
      <c r="I22" s="5"/>
      <c r="J22" s="5"/>
      <c r="K22" s="5"/>
      <c r="L22" s="5"/>
    </row>
    <row r="23" spans="2:15" hidden="1" x14ac:dyDescent="0.2">
      <c r="C23" s="397"/>
      <c r="D23" s="397"/>
      <c r="E23" s="397"/>
      <c r="F23" s="397"/>
      <c r="G23" s="397"/>
      <c r="H23" s="5"/>
      <c r="I23" s="5"/>
      <c r="J23" s="5"/>
      <c r="K23" s="5"/>
      <c r="L23" s="5"/>
    </row>
    <row r="24" spans="2:15" ht="22.5" hidden="1" x14ac:dyDescent="0.2">
      <c r="C24" s="27" t="s">
        <v>257</v>
      </c>
      <c r="D24" s="27" t="str">
        <f>CONCATENATE(Basisdaten!D28," ",Basisdaten!D29)</f>
        <v xml:space="preserve">Tis (= DCIS, Paget)
(N0, M0) </v>
      </c>
      <c r="E24" s="27" t="str">
        <f>CONCATENATE(Basisdaten!E28," ",Basisdaten!E29)</f>
        <v xml:space="preserve">T1 (N0, M0) </v>
      </c>
      <c r="F24" s="27" t="str">
        <f>CONCATENATE(Basisdaten!F28," ",Basisdaten!F29)</f>
        <v>T2 (N0, M0)</v>
      </c>
      <c r="G24" s="27" t="str">
        <f>CONCATENATE(Basisdaten!G28," ",Basisdaten!G29)</f>
        <v>T3 (N0, M0)</v>
      </c>
      <c r="H24" s="27" t="str">
        <f>CONCATENATE(Basisdaten!H28," ",Basisdaten!H29)</f>
        <v>T4 (N0, M0)</v>
      </c>
      <c r="I24" s="27" t="str">
        <f>CONCATENATE(Basisdaten!I28," ",Basisdaten!I29)</f>
        <v>N+ (jedes T inkl. Tis/Tx 2a), M0)</v>
      </c>
      <c r="J24" s="27" t="str">
        <f>CONCATENATE(Basisdaten!J28," ",Basisdaten!J29)</f>
        <v>M1 (jedes N, jedes T inkl. Tis/Tx2b))</v>
      </c>
      <c r="K24" s="27" t="str">
        <f>CONCATENATE(Basisdaten!K28," ",Basisdaten!K29)</f>
        <v xml:space="preserve">nicht zuzu-ordnen </v>
      </c>
      <c r="L24" s="27" t="s">
        <v>302</v>
      </c>
    </row>
    <row r="25" spans="2:15" hidden="1" x14ac:dyDescent="0.2">
      <c r="C25" s="398" t="s">
        <v>302</v>
      </c>
      <c r="D25" s="27">
        <f>Basisdaten!D30</f>
        <v>0</v>
      </c>
      <c r="E25" s="27">
        <f>Basisdaten!E30</f>
        <v>0</v>
      </c>
      <c r="F25" s="27">
        <f>Basisdaten!F30</f>
        <v>0</v>
      </c>
      <c r="G25" s="27">
        <f>Basisdaten!G30</f>
        <v>0</v>
      </c>
      <c r="H25" s="27">
        <f>Basisdaten!H30</f>
        <v>0</v>
      </c>
      <c r="I25" s="27">
        <f>Basisdaten!I30</f>
        <v>0</v>
      </c>
      <c r="J25" s="27">
        <f>Basisdaten!J30</f>
        <v>0</v>
      </c>
      <c r="K25" s="27">
        <f>Basisdaten!K30</f>
        <v>0</v>
      </c>
      <c r="L25" s="27" t="str">
        <f>Basisdaten!L30</f>
        <v/>
      </c>
    </row>
    <row r="26" spans="2:15" ht="57.75" hidden="1" customHeight="1" x14ac:dyDescent="0.2">
      <c r="C26" s="458" t="s">
        <v>1196</v>
      </c>
      <c r="D26" s="27">
        <f>Basisdaten!D31</f>
        <v>0</v>
      </c>
      <c r="E26" s="27">
        <f>Basisdaten!E31</f>
        <v>0</v>
      </c>
      <c r="F26" s="27">
        <f>Basisdaten!F31</f>
        <v>0</v>
      </c>
      <c r="G26" s="27">
        <f>Basisdaten!G31</f>
        <v>0</v>
      </c>
      <c r="H26" s="27">
        <f>Basisdaten!H31</f>
        <v>0</v>
      </c>
      <c r="I26" s="27">
        <f>Basisdaten!I31</f>
        <v>0</v>
      </c>
      <c r="J26" s="27">
        <f>Basisdaten!J31</f>
        <v>0</v>
      </c>
      <c r="K26" s="27">
        <f>Basisdaten!K31</f>
        <v>0</v>
      </c>
      <c r="L26" s="27" t="str">
        <f>Basisdaten!L31</f>
        <v/>
      </c>
    </row>
    <row r="27" spans="2:15" hidden="1" x14ac:dyDescent="0.2">
      <c r="C27" s="399"/>
      <c r="D27" s="400"/>
      <c r="E27" s="400"/>
      <c r="F27" s="400"/>
      <c r="G27" s="400"/>
      <c r="H27" s="51"/>
      <c r="I27" s="67"/>
      <c r="J27" s="5"/>
      <c r="K27" s="5"/>
      <c r="L27" s="5"/>
    </row>
    <row r="28" spans="2:15" ht="22.5" hidden="1" x14ac:dyDescent="0.2">
      <c r="C28" s="401" t="s">
        <v>1201</v>
      </c>
      <c r="D28" s="27" t="str">
        <f>Basisdaten!D33</f>
        <v/>
      </c>
      <c r="E28" s="27" t="str">
        <f>Basisdaten!E33</f>
        <v/>
      </c>
      <c r="F28" s="27" t="str">
        <f>Basisdaten!F33</f>
        <v/>
      </c>
      <c r="G28" s="27" t="str">
        <f>Basisdaten!G33</f>
        <v/>
      </c>
      <c r="H28" s="27" t="str">
        <f>Basisdaten!H33</f>
        <v/>
      </c>
      <c r="I28" s="27" t="str">
        <f>Basisdaten!I33</f>
        <v/>
      </c>
      <c r="J28" s="27" t="str">
        <f>Basisdaten!J33</f>
        <v/>
      </c>
      <c r="K28" s="27" t="str">
        <f>Basisdaten!K33</f>
        <v/>
      </c>
      <c r="L28" s="27" t="str">
        <f>Basisdaten!L33</f>
        <v/>
      </c>
    </row>
    <row r="29" spans="2:15" ht="17.25" hidden="1" x14ac:dyDescent="0.25">
      <c r="C29" s="401" t="s">
        <v>923</v>
      </c>
      <c r="D29" s="27">
        <f>Basisdaten!D34</f>
        <v>0</v>
      </c>
      <c r="E29" s="27">
        <f>Basisdaten!E34</f>
        <v>0</v>
      </c>
      <c r="F29" s="27">
        <f>Basisdaten!F34</f>
        <v>0</v>
      </c>
      <c r="G29" s="27">
        <f>Basisdaten!G34</f>
        <v>0</v>
      </c>
      <c r="H29" s="27">
        <f>Basisdaten!H34</f>
        <v>0</v>
      </c>
      <c r="I29" s="27">
        <f>Basisdaten!I34</f>
        <v>0</v>
      </c>
      <c r="J29" s="27">
        <f>Basisdaten!J34</f>
        <v>0</v>
      </c>
      <c r="K29" s="27">
        <f>Basisdaten!K34</f>
        <v>0</v>
      </c>
      <c r="L29" s="27" t="str">
        <f>Basisdaten!L34</f>
        <v/>
      </c>
    </row>
    <row r="30" spans="2:15" ht="39.75" hidden="1" x14ac:dyDescent="0.25">
      <c r="C30" s="401" t="s">
        <v>924</v>
      </c>
      <c r="D30" s="27">
        <f>Basisdaten!D35</f>
        <v>0</v>
      </c>
      <c r="E30" s="27">
        <f>Basisdaten!E35</f>
        <v>0</v>
      </c>
      <c r="F30" s="27">
        <f>Basisdaten!F35</f>
        <v>0</v>
      </c>
      <c r="G30" s="27">
        <f>Basisdaten!G35</f>
        <v>0</v>
      </c>
      <c r="H30" s="27">
        <f>Basisdaten!H35</f>
        <v>0</v>
      </c>
      <c r="I30" s="27">
        <f>Basisdaten!I35</f>
        <v>0</v>
      </c>
      <c r="J30" s="27">
        <f>Basisdaten!J35</f>
        <v>0</v>
      </c>
      <c r="K30" s="27">
        <f>Basisdaten!K35</f>
        <v>0</v>
      </c>
      <c r="L30" s="27" t="str">
        <f>Basisdaten!L35</f>
        <v/>
      </c>
    </row>
    <row r="31" spans="2:15" hidden="1" x14ac:dyDescent="0.2">
      <c r="B31" s="282"/>
      <c r="C31" s="397" t="s">
        <v>925</v>
      </c>
      <c r="D31" s="402">
        <f>IF(Basisdaten!D$30="",0,Basisdaten!D$30)-IF(Basisdaten!D$35="",0,Basisdaten!D$35)</f>
        <v>0</v>
      </c>
      <c r="E31" s="402">
        <f>IF(Basisdaten!E$30="",0,Basisdaten!E$30)-IF(Basisdaten!E$35="",0,Basisdaten!E$35)</f>
        <v>0</v>
      </c>
      <c r="F31" s="402">
        <f>IF(Basisdaten!F$30="",0,Basisdaten!F$30)-IF(Basisdaten!F$35="",0,Basisdaten!F$35)</f>
        <v>0</v>
      </c>
      <c r="G31" s="402">
        <f>IF(Basisdaten!G$30="",0,Basisdaten!G$30)-IF(Basisdaten!G$35="",0,Basisdaten!G$35)</f>
        <v>0</v>
      </c>
      <c r="H31" s="402">
        <f>IF(Basisdaten!H$30="",0,Basisdaten!H$30)-IF(Basisdaten!H$35="",0,Basisdaten!H$35)</f>
        <v>0</v>
      </c>
      <c r="I31" s="402">
        <f>IF(Basisdaten!I$30="",0,Basisdaten!I$30)-IF(Basisdaten!I$35="",0,Basisdaten!I$35)</f>
        <v>0</v>
      </c>
      <c r="J31" s="402">
        <f>IF(Basisdaten!J$30="",0,Basisdaten!J$30)-IF(Basisdaten!J$35="",0,Basisdaten!J$35)</f>
        <v>0</v>
      </c>
      <c r="K31" s="402">
        <f>IF(Basisdaten!K$30="",0,Basisdaten!K$30)-IF(Basisdaten!K$35="",0,Basisdaten!K$35)</f>
        <v>0</v>
      </c>
      <c r="L31" s="402">
        <f>IF(Basisdaten!L$30="",0,Basisdaten!L$30)-IF(Basisdaten!L$35="",0,Basisdaten!L$35)</f>
        <v>0</v>
      </c>
      <c r="M31" s="279"/>
      <c r="N31" s="279"/>
      <c r="O31" s="279"/>
    </row>
    <row r="32" spans="2:15" ht="22.5" hidden="1" x14ac:dyDescent="0.2">
      <c r="B32" s="282"/>
      <c r="C32" s="397" t="s">
        <v>266</v>
      </c>
      <c r="D32" s="402">
        <f>IF(Basisdaten!D$30="",0,Basisdaten!D$30)-IF(Basisdaten!D$34="",0,Basisdaten!D$34)</f>
        <v>0</v>
      </c>
      <c r="E32" s="402">
        <f>IF(Basisdaten!E$30="",0,Basisdaten!E$30)-IF(Basisdaten!E$34="",0,Basisdaten!E$34)</f>
        <v>0</v>
      </c>
      <c r="F32" s="402">
        <f>IF(Basisdaten!F$30="",0,Basisdaten!F$30)-IF(Basisdaten!F$34="",0,Basisdaten!F$34)</f>
        <v>0</v>
      </c>
      <c r="G32" s="402">
        <f>IF(Basisdaten!G$30="",0,Basisdaten!G$30)-IF(Basisdaten!G$34="",0,Basisdaten!G$34)</f>
        <v>0</v>
      </c>
      <c r="H32" s="402">
        <f>IF(Basisdaten!H$30="",0,Basisdaten!H$30)-IF(Basisdaten!H$34="",0,Basisdaten!H$34)</f>
        <v>0</v>
      </c>
      <c r="I32" s="402">
        <f>IF(Basisdaten!I$30="",0,Basisdaten!I$30)-IF(Basisdaten!I$34="",0,Basisdaten!I$34)</f>
        <v>0</v>
      </c>
      <c r="J32" s="402">
        <f>IF(Basisdaten!J$30="",0,Basisdaten!J$30)-IF(Basisdaten!J$34="",0,Basisdaten!J$34)</f>
        <v>0</v>
      </c>
      <c r="K32" s="402">
        <f>IF(Basisdaten!K$30="",0,Basisdaten!K$30)-IF(Basisdaten!K$34="",0,Basisdaten!K$34)</f>
        <v>0</v>
      </c>
      <c r="L32" s="402">
        <f>IF(Basisdaten!L$30="",0,Basisdaten!L$30)-IF(Basisdaten!L$34="",0,Basisdaten!L$34)</f>
        <v>0</v>
      </c>
      <c r="M32" s="279"/>
      <c r="N32" s="279"/>
      <c r="O32" s="279"/>
    </row>
    <row r="33" spans="1:15" x14ac:dyDescent="0.2">
      <c r="B33" s="282"/>
      <c r="C33" s="282"/>
      <c r="D33" s="282"/>
      <c r="E33" s="282"/>
      <c r="F33" s="282"/>
      <c r="M33" s="279"/>
      <c r="N33" s="279"/>
      <c r="O33" s="279"/>
    </row>
    <row r="34" spans="1:15" x14ac:dyDescent="0.2">
      <c r="B34" s="282"/>
      <c r="C34" s="282"/>
      <c r="D34" s="282"/>
      <c r="E34" s="282"/>
      <c r="F34" s="282"/>
      <c r="M34" s="279"/>
      <c r="N34" s="279"/>
      <c r="O34" s="279"/>
    </row>
    <row r="35" spans="1:15" x14ac:dyDescent="0.2">
      <c r="B35" s="282"/>
      <c r="C35" s="282"/>
      <c r="D35" s="282"/>
      <c r="E35" s="282"/>
      <c r="F35" s="282"/>
      <c r="M35" s="279"/>
      <c r="N35" s="279"/>
      <c r="O35" s="279"/>
    </row>
    <row r="36" spans="1:15" x14ac:dyDescent="0.2">
      <c r="B36" s="282"/>
      <c r="C36" s="277" t="s">
        <v>438</v>
      </c>
      <c r="D36" s="282"/>
      <c r="E36" s="282"/>
      <c r="F36" s="282"/>
      <c r="M36" s="279"/>
      <c r="N36" s="279"/>
      <c r="O36" s="279"/>
    </row>
    <row r="37" spans="1:15" x14ac:dyDescent="0.2">
      <c r="M37" s="279"/>
      <c r="N37" s="279"/>
      <c r="O37" s="279"/>
    </row>
    <row r="38" spans="1:15" x14ac:dyDescent="0.2">
      <c r="C38" s="283" t="s">
        <v>250</v>
      </c>
      <c r="D38" s="283" t="s">
        <v>467</v>
      </c>
      <c r="E38" s="283" t="s">
        <v>477</v>
      </c>
      <c r="F38" s="283" t="s">
        <v>476</v>
      </c>
      <c r="G38" s="283" t="s">
        <v>474</v>
      </c>
      <c r="H38" s="283" t="s">
        <v>475</v>
      </c>
      <c r="I38" s="283"/>
      <c r="J38" s="283" t="s">
        <v>478</v>
      </c>
      <c r="K38" s="283" t="s">
        <v>479</v>
      </c>
      <c r="L38" s="283" t="s">
        <v>473</v>
      </c>
      <c r="M38" s="283" t="s">
        <v>376</v>
      </c>
      <c r="N38" s="283" t="s">
        <v>375</v>
      </c>
      <c r="O38" s="283" t="s">
        <v>374</v>
      </c>
    </row>
    <row r="39" spans="1:15" x14ac:dyDescent="0.2">
      <c r="A39" s="284"/>
      <c r="C39" s="283"/>
      <c r="D39" s="283"/>
      <c r="E39" s="283"/>
      <c r="F39" s="283"/>
      <c r="G39" s="283"/>
      <c r="H39" s="283"/>
      <c r="I39" s="283"/>
      <c r="J39" s="283"/>
      <c r="K39" s="283"/>
      <c r="L39" s="283"/>
      <c r="M39" s="283"/>
      <c r="N39" s="283"/>
      <c r="O39" s="285"/>
    </row>
    <row r="40" spans="1:15" x14ac:dyDescent="0.2">
      <c r="A40" s="284"/>
      <c r="C40" s="283"/>
      <c r="D40" s="283"/>
      <c r="E40" s="283"/>
      <c r="F40" s="283"/>
      <c r="G40" s="283"/>
      <c r="H40" s="283"/>
      <c r="I40" s="283"/>
      <c r="J40" s="283"/>
      <c r="K40" s="283"/>
      <c r="L40" s="283"/>
      <c r="M40" s="283"/>
      <c r="N40" s="283"/>
      <c r="O40" s="285"/>
    </row>
    <row r="41" spans="1:15" x14ac:dyDescent="0.2">
      <c r="A41" s="284"/>
      <c r="C41" s="286">
        <v>1</v>
      </c>
      <c r="D41" s="287" t="s">
        <v>468</v>
      </c>
      <c r="E41" s="288">
        <v>0</v>
      </c>
      <c r="F41" s="288">
        <v>1</v>
      </c>
      <c r="G41" s="288">
        <v>0.95</v>
      </c>
      <c r="H41" s="288">
        <v>10000</v>
      </c>
      <c r="I41" s="288"/>
      <c r="J41" s="288">
        <v>-10000</v>
      </c>
      <c r="K41" s="288">
        <v>10000</v>
      </c>
      <c r="L41" s="288" t="str">
        <f>'Kennzahlenbogen_(KB)'!O11</f>
        <v>n.d.</v>
      </c>
      <c r="M41" s="289">
        <f>IF('Kennzahlenbogen_(KB)'!P9=Berechnung1!$G$5,1,IF('Kennzahlenbogen_(KB)'!P9=Berechnung1!$F$5,1,IF('Kennzahlenbogen_(KB)'!P9=Berechnung1!$E$5,2,IF('Kennzahlenbogen_(KB)'!P9=Berechnung1!$D$5,3,IF('Kennzahlenbogen_(KB)'!P9=Berechnung1!$C$5,4,"")))))</f>
        <v>1</v>
      </c>
      <c r="N41" s="289">
        <f>IF(M41&gt;1,M41+3,M41)</f>
        <v>1</v>
      </c>
      <c r="O41" s="289">
        <f>IF('Kennzahlenbogen_(KB)'!R9="",0,1)</f>
        <v>0</v>
      </c>
    </row>
    <row r="42" spans="1:15" x14ac:dyDescent="0.2">
      <c r="A42" s="284"/>
      <c r="C42" s="290"/>
      <c r="D42" s="291"/>
      <c r="E42" s="292"/>
      <c r="F42" s="292"/>
      <c r="G42" s="292"/>
      <c r="H42" s="292"/>
      <c r="I42" s="292"/>
      <c r="J42" s="292"/>
      <c r="K42" s="292"/>
      <c r="L42" s="292"/>
      <c r="M42" s="292"/>
      <c r="N42" s="292"/>
      <c r="O42" s="293"/>
    </row>
    <row r="43" spans="1:15" x14ac:dyDescent="0.2">
      <c r="A43" s="284"/>
      <c r="C43" s="290"/>
      <c r="D43" s="291"/>
      <c r="E43" s="292"/>
      <c r="F43" s="292"/>
      <c r="G43" s="292"/>
      <c r="H43" s="292"/>
      <c r="I43" s="292"/>
      <c r="J43" s="292"/>
      <c r="K43" s="292"/>
      <c r="L43" s="292"/>
      <c r="M43" s="292"/>
      <c r="N43" s="292"/>
      <c r="O43" s="293"/>
    </row>
    <row r="44" spans="1:15" x14ac:dyDescent="0.2">
      <c r="A44" s="284"/>
      <c r="C44" s="286">
        <v>2</v>
      </c>
      <c r="D44" s="287" t="s">
        <v>468</v>
      </c>
      <c r="E44" s="288">
        <v>0</v>
      </c>
      <c r="F44" s="288">
        <v>1</v>
      </c>
      <c r="G44" s="288">
        <v>0.4</v>
      </c>
      <c r="H44" s="294">
        <v>100000000</v>
      </c>
      <c r="I44" s="288"/>
      <c r="J44" s="288">
        <v>-10000</v>
      </c>
      <c r="K44" s="288">
        <v>10000</v>
      </c>
      <c r="L44" s="288" t="str">
        <f>'Kennzahlenbogen_(KB)'!O14</f>
        <v>n.d.</v>
      </c>
      <c r="M44" s="289">
        <f>IF('Kennzahlenbogen_(KB)'!P12=Berechnung1!$G$5,1,IF('Kennzahlenbogen_(KB)'!P12=Berechnung1!$F$5,1,IF('Kennzahlenbogen_(KB)'!P12=Berechnung1!$E$5,2,IF('Kennzahlenbogen_(KB)'!P12=Berechnung1!$D$5,3,IF('Kennzahlenbogen_(KB)'!P12=Berechnung1!$C$5,4,"")))))</f>
        <v>1</v>
      </c>
      <c r="N44" s="289">
        <f>IF(M44&gt;1,M44+3,M44)</f>
        <v>1</v>
      </c>
      <c r="O44" s="289">
        <f>IF('Kennzahlenbogen_(KB)'!R12="",0,1)</f>
        <v>0</v>
      </c>
    </row>
    <row r="45" spans="1:15" x14ac:dyDescent="0.2">
      <c r="C45" s="295"/>
      <c r="D45" s="295"/>
      <c r="E45" s="295"/>
      <c r="F45" s="295"/>
      <c r="G45" s="295"/>
      <c r="H45" s="295"/>
      <c r="I45" s="295"/>
      <c r="J45" s="295"/>
      <c r="K45" s="295"/>
      <c r="L45" s="295"/>
      <c r="M45" s="295"/>
      <c r="N45" s="295"/>
      <c r="O45" s="295"/>
    </row>
    <row r="46" spans="1:15" x14ac:dyDescent="0.2">
      <c r="A46" s="284"/>
      <c r="C46" s="290"/>
      <c r="D46" s="291"/>
      <c r="E46" s="292"/>
      <c r="F46" s="292"/>
      <c r="G46" s="292"/>
      <c r="H46" s="292"/>
      <c r="I46" s="292"/>
      <c r="J46" s="292"/>
      <c r="K46" s="292"/>
      <c r="L46" s="292"/>
      <c r="M46" s="292"/>
      <c r="N46" s="292"/>
      <c r="O46" s="293"/>
    </row>
    <row r="47" spans="1:15" x14ac:dyDescent="0.2">
      <c r="A47" s="284"/>
      <c r="B47" s="278" t="s">
        <v>810</v>
      </c>
      <c r="C47" s="336">
        <v>3</v>
      </c>
      <c r="D47" s="335" t="s">
        <v>468</v>
      </c>
      <c r="E47" s="334">
        <v>0</v>
      </c>
      <c r="F47" s="334">
        <v>1</v>
      </c>
      <c r="G47" s="334">
        <v>-100000000</v>
      </c>
      <c r="H47" s="334">
        <v>100000000</v>
      </c>
      <c r="I47" s="334"/>
      <c r="J47" s="334">
        <v>0.7</v>
      </c>
      <c r="K47" s="334">
        <v>10000</v>
      </c>
      <c r="L47" s="334" t="str">
        <f>'Kennzahlenbogen_(KB)'!O17</f>
        <v>n.d.</v>
      </c>
      <c r="M47" s="333">
        <f>IF('Kennzahlenbogen_(KB)'!P15=Berechnung1!$H$5,5,IF('Kennzahlenbogen_(KB)'!P15=Berechnung1!$G$5,1,IF('Kennzahlenbogen_(KB)'!P15=Berechnung1!$F$5,1,IF('Kennzahlenbogen_(KB)'!P15=Berechnung1!$E$5,2,IF(AND('Kennzahlenbogen_(KB)'!P15=Berechnung1!$D$5,'Kennzahlenbogen_(KB)'!O15=0,'Kennzahlenbogen_(KB)'!O16=0),5,IF('Kennzahlenbogen_(KB)'!P15=Berechnung1!$D$5,3,IF('Kennzahlenbogen_(KB)'!P15=Berechnung1!$C$5,4,"")))))))</f>
        <v>1</v>
      </c>
      <c r="N47" s="333">
        <f>IF(M47&gt;1,M47+3,M47)</f>
        <v>1</v>
      </c>
      <c r="O47" s="333">
        <f>IF('Kennzahlenbogen_(KB)'!R15="",0,1)</f>
        <v>0</v>
      </c>
    </row>
    <row r="48" spans="1:15" x14ac:dyDescent="0.2">
      <c r="A48" s="284"/>
      <c r="C48" s="290"/>
      <c r="D48" s="291"/>
      <c r="E48" s="292"/>
      <c r="F48" s="292"/>
      <c r="G48" s="292"/>
      <c r="H48" s="292"/>
      <c r="I48" s="292"/>
      <c r="J48" s="292"/>
      <c r="K48" s="292"/>
      <c r="L48" s="292"/>
      <c r="M48" s="292"/>
      <c r="N48" s="292"/>
      <c r="O48" s="293"/>
    </row>
    <row r="49" spans="1:15" x14ac:dyDescent="0.2">
      <c r="A49" s="284"/>
      <c r="C49" s="290"/>
      <c r="D49" s="291"/>
      <c r="E49" s="292"/>
      <c r="F49" s="292"/>
      <c r="G49" s="292"/>
      <c r="H49" s="292"/>
      <c r="I49" s="292"/>
      <c r="J49" s="292"/>
      <c r="K49" s="292"/>
      <c r="L49" s="292"/>
      <c r="M49" s="292"/>
      <c r="N49" s="292"/>
      <c r="O49" s="293"/>
    </row>
    <row r="50" spans="1:15" x14ac:dyDescent="0.2">
      <c r="A50" s="284"/>
      <c r="C50" s="286" t="s">
        <v>836</v>
      </c>
      <c r="D50" s="287" t="s">
        <v>468</v>
      </c>
      <c r="E50" s="288">
        <v>0</v>
      </c>
      <c r="F50" s="288">
        <v>1</v>
      </c>
      <c r="G50" s="288">
        <v>0.9</v>
      </c>
      <c r="H50" s="288">
        <v>10000</v>
      </c>
      <c r="I50" s="288"/>
      <c r="J50" s="288">
        <v>-10000</v>
      </c>
      <c r="K50" s="288">
        <v>10000</v>
      </c>
      <c r="L50" s="288" t="str">
        <f>'Kennzahlenbogen_(KB)'!O20</f>
        <v>n.d.</v>
      </c>
      <c r="M50" s="289">
        <f>IF('Kennzahlenbogen_(KB)'!P18=Berechnung1!$G$5,1,IF('Kennzahlenbogen_(KB)'!P18=Berechnung1!$F$5,1,IF('Kennzahlenbogen_(KB)'!P18=Berechnung1!$E$5,2,IF('Kennzahlenbogen_(KB)'!P18=Berechnung1!$D$5,3,IF('Kennzahlenbogen_(KB)'!P18=Berechnung1!$C$5,4,"")))))</f>
        <v>1</v>
      </c>
      <c r="N50" s="289">
        <f>IF(M50&gt;1,M50+3,M50)</f>
        <v>1</v>
      </c>
      <c r="O50" s="289">
        <f>IF('Kennzahlenbogen_(KB)'!R18="",0,1)</f>
        <v>0</v>
      </c>
    </row>
    <row r="51" spans="1:15" x14ac:dyDescent="0.2">
      <c r="A51" s="284"/>
      <c r="C51" s="290"/>
      <c r="D51" s="291"/>
      <c r="E51" s="292"/>
      <c r="F51" s="292"/>
      <c r="G51" s="292"/>
      <c r="H51" s="292"/>
      <c r="I51" s="292"/>
      <c r="J51" s="292"/>
      <c r="K51" s="292"/>
      <c r="L51" s="292"/>
      <c r="M51" s="292"/>
      <c r="N51" s="292"/>
      <c r="O51" s="293"/>
    </row>
    <row r="52" spans="1:15" x14ac:dyDescent="0.2">
      <c r="A52" s="284"/>
      <c r="C52" s="290"/>
      <c r="D52" s="291"/>
      <c r="E52" s="292"/>
      <c r="F52" s="292"/>
      <c r="G52" s="292"/>
      <c r="H52" s="292"/>
      <c r="I52" s="292"/>
      <c r="J52" s="292"/>
      <c r="K52" s="292"/>
      <c r="L52" s="292"/>
      <c r="M52" s="292"/>
      <c r="N52" s="292"/>
      <c r="O52" s="293"/>
    </row>
    <row r="53" spans="1:15" x14ac:dyDescent="0.2">
      <c r="A53" s="284"/>
      <c r="B53" s="278" t="s">
        <v>810</v>
      </c>
      <c r="C53" s="336" t="s">
        <v>838</v>
      </c>
      <c r="D53" s="335" t="s">
        <v>468</v>
      </c>
      <c r="E53" s="334">
        <v>0</v>
      </c>
      <c r="F53" s="334">
        <v>1</v>
      </c>
      <c r="G53" s="334">
        <v>-10000</v>
      </c>
      <c r="H53" s="334">
        <v>10000</v>
      </c>
      <c r="I53" s="334"/>
      <c r="J53" s="334">
        <v>0.8</v>
      </c>
      <c r="K53" s="334">
        <v>10000</v>
      </c>
      <c r="L53" s="334" t="str">
        <f>'Kennzahlenbogen_(KB)'!O23</f>
        <v>n.d.</v>
      </c>
      <c r="M53" s="333">
        <f>IF('Kennzahlenbogen_(KB)'!P21=Berechnung1!$H$5,5,IF('Kennzahlenbogen_(KB)'!P21=Berechnung1!$G$5,1,IF('Kennzahlenbogen_(KB)'!P21=Berechnung1!$F$5,1,IF('Kennzahlenbogen_(KB)'!P21=Berechnung1!$E$5,2,IF(AND('Kennzahlenbogen_(KB)'!P21=Berechnung1!$D$5,'Kennzahlenbogen_(KB)'!O21=0,'Kennzahlenbogen_(KB)'!O22=0),5,IF('Kennzahlenbogen_(KB)'!P21=Berechnung1!$D$5,3,IF('Kennzahlenbogen_(KB)'!P21=Berechnung1!$C$5,4,"")))))))</f>
        <v>1</v>
      </c>
      <c r="N53" s="333">
        <f>IF(M53&gt;1,M53+3,M53)</f>
        <v>1</v>
      </c>
      <c r="O53" s="333">
        <f>IF('Kennzahlenbogen_(KB)'!R21="",0,1)</f>
        <v>0</v>
      </c>
    </row>
    <row r="54" spans="1:15" x14ac:dyDescent="0.2">
      <c r="A54" s="284"/>
      <c r="C54" s="290"/>
      <c r="D54" s="291"/>
      <c r="E54" s="292"/>
      <c r="F54" s="292"/>
      <c r="G54" s="292"/>
      <c r="H54" s="292"/>
      <c r="I54" s="292"/>
      <c r="J54" s="292"/>
      <c r="K54" s="292"/>
      <c r="L54" s="292"/>
      <c r="M54" s="292"/>
      <c r="N54" s="292"/>
      <c r="O54" s="293"/>
    </row>
    <row r="55" spans="1:15" x14ac:dyDescent="0.2">
      <c r="A55" s="284"/>
      <c r="C55" s="290"/>
      <c r="D55" s="291"/>
      <c r="E55" s="292"/>
      <c r="F55" s="292"/>
      <c r="G55" s="292"/>
      <c r="H55" s="292"/>
      <c r="I55" s="292"/>
      <c r="J55" s="292"/>
      <c r="K55" s="292"/>
      <c r="L55" s="292"/>
      <c r="M55" s="292"/>
      <c r="N55" s="292"/>
      <c r="O55" s="293"/>
    </row>
    <row r="56" spans="1:15" x14ac:dyDescent="0.2">
      <c r="A56" s="284"/>
      <c r="C56" s="286" t="s">
        <v>842</v>
      </c>
      <c r="D56" s="287" t="s">
        <v>468</v>
      </c>
      <c r="E56" s="288">
        <v>0</v>
      </c>
      <c r="F56" s="288">
        <v>1</v>
      </c>
      <c r="G56" s="288">
        <v>-10000</v>
      </c>
      <c r="H56" s="288">
        <v>10000</v>
      </c>
      <c r="I56" s="288"/>
      <c r="J56" s="288">
        <v>0.6</v>
      </c>
      <c r="K56" s="288">
        <v>10000</v>
      </c>
      <c r="L56" s="288" t="str">
        <f>'Kennzahlenbogen_(KB)'!O26</f>
        <v>n.d.</v>
      </c>
      <c r="M56" s="289">
        <f>IF('Kennzahlenbogen_(KB)'!P24=Berechnung1!$G$5,1,IF('Kennzahlenbogen_(KB)'!P24=Berechnung1!$F$5,1,IF('Kennzahlenbogen_(KB)'!P24=Berechnung1!$E$5,2,IF('Kennzahlenbogen_(KB)'!P24=Berechnung1!$D$5,3,IF('Kennzahlenbogen_(KB)'!P24=Berechnung1!$C$5,4,"")))))</f>
        <v>1</v>
      </c>
      <c r="N56" s="289">
        <f>IF(M56&gt;1,M56+3,M56)</f>
        <v>1</v>
      </c>
      <c r="O56" s="289">
        <f>IF('Kennzahlenbogen_(KB)'!R24="",0,1)</f>
        <v>0</v>
      </c>
    </row>
    <row r="57" spans="1:15" x14ac:dyDescent="0.2">
      <c r="A57" s="284"/>
      <c r="C57" s="290"/>
      <c r="D57" s="291"/>
      <c r="E57" s="292"/>
      <c r="F57" s="292"/>
      <c r="G57" s="292"/>
      <c r="H57" s="292"/>
      <c r="I57" s="292"/>
      <c r="J57" s="292"/>
      <c r="K57" s="292"/>
      <c r="L57" s="292"/>
      <c r="M57" s="292"/>
      <c r="N57" s="292"/>
      <c r="O57" s="293"/>
    </row>
    <row r="58" spans="1:15" x14ac:dyDescent="0.2">
      <c r="A58" s="284"/>
      <c r="C58" s="290"/>
      <c r="D58" s="291"/>
      <c r="E58" s="292"/>
      <c r="F58" s="292"/>
      <c r="G58" s="292"/>
      <c r="H58" s="292"/>
      <c r="I58" s="292"/>
      <c r="J58" s="292"/>
      <c r="K58" s="292"/>
      <c r="L58" s="292"/>
      <c r="M58" s="292"/>
      <c r="N58" s="292"/>
      <c r="O58" s="293"/>
    </row>
    <row r="59" spans="1:15" x14ac:dyDescent="0.2">
      <c r="A59" s="284"/>
      <c r="C59" s="286" t="s">
        <v>843</v>
      </c>
      <c r="D59" s="287" t="s">
        <v>468</v>
      </c>
      <c r="E59" s="288">
        <v>0</v>
      </c>
      <c r="F59" s="288">
        <v>1</v>
      </c>
      <c r="G59" s="288">
        <v>0.95</v>
      </c>
      <c r="H59" s="288">
        <v>10000</v>
      </c>
      <c r="I59" s="288"/>
      <c r="J59" s="288">
        <v>-10000</v>
      </c>
      <c r="K59" s="288">
        <v>10000</v>
      </c>
      <c r="L59" s="288" t="str">
        <f>'Kennzahlenbogen_(KB)'!O29</f>
        <v>n.d.</v>
      </c>
      <c r="M59" s="289">
        <f>IF('Kennzahlenbogen_(KB)'!P27=Berechnung1!$G$5,1,IF('Kennzahlenbogen_(KB)'!P27=Berechnung1!$F$5,1,IF('Kennzahlenbogen_(KB)'!P27=Berechnung1!$E$5,2,IF('Kennzahlenbogen_(KB)'!P27=Berechnung1!$D$5,3,IF('Kennzahlenbogen_(KB)'!P27=Berechnung1!$C$5,4,"")))))</f>
        <v>1</v>
      </c>
      <c r="N59" s="289">
        <f>IF(M59&gt;1,M59+3,M59)</f>
        <v>1</v>
      </c>
      <c r="O59" s="289">
        <f>IF('Kennzahlenbogen_(KB)'!R27="",0,1)</f>
        <v>0</v>
      </c>
    </row>
    <row r="60" spans="1:15" x14ac:dyDescent="0.2">
      <c r="A60" s="284"/>
      <c r="C60" s="290"/>
      <c r="D60" s="291"/>
      <c r="E60" s="292"/>
      <c r="F60" s="292"/>
      <c r="G60" s="292"/>
      <c r="H60" s="292"/>
      <c r="I60" s="292"/>
      <c r="J60" s="292"/>
      <c r="K60" s="292"/>
      <c r="L60" s="292"/>
      <c r="M60" s="292"/>
      <c r="N60" s="292"/>
      <c r="O60" s="293"/>
    </row>
    <row r="61" spans="1:15" x14ac:dyDescent="0.2">
      <c r="A61" s="284"/>
      <c r="C61" s="290"/>
      <c r="D61" s="291"/>
      <c r="E61" s="292"/>
      <c r="F61" s="292"/>
      <c r="G61" s="292"/>
      <c r="H61" s="292"/>
      <c r="I61" s="292"/>
      <c r="J61" s="292"/>
      <c r="K61" s="292"/>
      <c r="L61" s="292"/>
      <c r="M61" s="292"/>
      <c r="N61" s="292"/>
      <c r="O61" s="293"/>
    </row>
    <row r="62" spans="1:15" x14ac:dyDescent="0.2">
      <c r="A62" s="284"/>
      <c r="B62" s="278" t="s">
        <v>810</v>
      </c>
      <c r="C62" s="336" t="s">
        <v>844</v>
      </c>
      <c r="D62" s="332" t="s">
        <v>468</v>
      </c>
      <c r="E62" s="334">
        <v>0</v>
      </c>
      <c r="F62" s="334">
        <v>1</v>
      </c>
      <c r="G62" s="334">
        <v>0.95</v>
      </c>
      <c r="H62" s="334">
        <v>10000</v>
      </c>
      <c r="I62" s="334"/>
      <c r="J62" s="334">
        <v>-10000</v>
      </c>
      <c r="K62" s="334">
        <v>10000</v>
      </c>
      <c r="L62" s="334" t="str">
        <f>'Kennzahlenbogen_(KB)'!O32</f>
        <v>n.d.</v>
      </c>
      <c r="M62" s="333">
        <f>IF('Kennzahlenbogen_(KB)'!P30=Berechnung1!$H$5,5,IF('Kennzahlenbogen_(KB)'!P30=Berechnung1!$G$5,1,IF('Kennzahlenbogen_(KB)'!P30=Berechnung1!$F$5,1,IF('Kennzahlenbogen_(KB)'!P30=Berechnung1!$E$5,2,IF(AND('Kennzahlenbogen_(KB)'!P30=Berechnung1!$D$5,'Kennzahlenbogen_(KB)'!O30=0,'Kennzahlenbogen_(KB)'!O31=0),5,IF('Kennzahlenbogen_(KB)'!P30=Berechnung1!$D$5,3,IF('Kennzahlenbogen_(KB)'!P30=Berechnung1!$C$5,4,"")))))))</f>
        <v>1</v>
      </c>
      <c r="N62" s="333">
        <f>IF(M62&gt;1,M62+3,M62)</f>
        <v>1</v>
      </c>
      <c r="O62" s="333">
        <f>IF('Kennzahlenbogen_(KB)'!R30="",0,1)</f>
        <v>0</v>
      </c>
    </row>
    <row r="63" spans="1:15" x14ac:dyDescent="0.2">
      <c r="A63" s="284"/>
      <c r="C63" s="290"/>
      <c r="D63" s="291"/>
      <c r="E63" s="292"/>
      <c r="F63" s="292"/>
      <c r="G63" s="292"/>
      <c r="H63" s="292"/>
      <c r="I63" s="292"/>
      <c r="J63" s="292"/>
      <c r="K63" s="292"/>
      <c r="L63" s="292"/>
      <c r="M63" s="292"/>
      <c r="N63" s="292"/>
      <c r="O63" s="293"/>
    </row>
    <row r="64" spans="1:15" x14ac:dyDescent="0.2">
      <c r="A64" s="284"/>
      <c r="C64" s="290"/>
      <c r="D64" s="291"/>
      <c r="E64" s="292"/>
      <c r="F64" s="292"/>
      <c r="G64" s="292"/>
      <c r="H64" s="292"/>
      <c r="I64" s="292"/>
      <c r="J64" s="292"/>
      <c r="K64" s="292"/>
      <c r="L64" s="292"/>
      <c r="M64" s="292"/>
      <c r="N64" s="292"/>
      <c r="O64" s="293"/>
    </row>
    <row r="65" spans="1:15" x14ac:dyDescent="0.2">
      <c r="A65" s="284"/>
      <c r="B65" s="278" t="s">
        <v>810</v>
      </c>
      <c r="C65" s="336" t="s">
        <v>845</v>
      </c>
      <c r="D65" s="332" t="s">
        <v>468</v>
      </c>
      <c r="E65" s="334">
        <v>0</v>
      </c>
      <c r="F65" s="334">
        <v>1</v>
      </c>
      <c r="G65" s="334">
        <v>0.95</v>
      </c>
      <c r="H65" s="334">
        <v>10000</v>
      </c>
      <c r="I65" s="334"/>
      <c r="J65" s="334">
        <v>-10000</v>
      </c>
      <c r="K65" s="334">
        <v>10000</v>
      </c>
      <c r="L65" s="334" t="str">
        <f>'Kennzahlenbogen_(KB)'!O35</f>
        <v>n.d.</v>
      </c>
      <c r="M65" s="333">
        <f>IF('Kennzahlenbogen_(KB)'!P33=Berechnung1!$H$5,5,IF('Kennzahlenbogen_(KB)'!P33=Berechnung1!$G$5,1,IF('Kennzahlenbogen_(KB)'!P33=Berechnung1!$F$5,1,IF('Kennzahlenbogen_(KB)'!P33=Berechnung1!$E$5,2,IF(AND('Kennzahlenbogen_(KB)'!P33=Berechnung1!$D$5,'Kennzahlenbogen_(KB)'!O33=0,'Kennzahlenbogen_(KB)'!O34=0),5,IF('Kennzahlenbogen_(KB)'!P33=Berechnung1!$D$5,3,IF('Kennzahlenbogen_(KB)'!P33=Berechnung1!$C$5,4,"")))))))</f>
        <v>1</v>
      </c>
      <c r="N65" s="333">
        <f>IF(M65&gt;1,M65+3,M65)</f>
        <v>1</v>
      </c>
      <c r="O65" s="333">
        <f>IF('Kennzahlenbogen_(KB)'!R33="",0,1)</f>
        <v>0</v>
      </c>
    </row>
    <row r="66" spans="1:15" x14ac:dyDescent="0.2">
      <c r="A66" s="284"/>
      <c r="C66" s="290"/>
      <c r="D66" s="291"/>
      <c r="E66" s="292"/>
      <c r="F66" s="292"/>
      <c r="G66" s="292"/>
      <c r="H66" s="292"/>
      <c r="I66" s="292"/>
      <c r="J66" s="292"/>
      <c r="K66" s="292"/>
      <c r="L66" s="292"/>
      <c r="M66" s="292"/>
      <c r="N66" s="292"/>
      <c r="O66" s="293"/>
    </row>
    <row r="67" spans="1:15" x14ac:dyDescent="0.2">
      <c r="A67" s="284"/>
      <c r="C67" s="290"/>
      <c r="D67" s="291"/>
      <c r="E67" s="292"/>
      <c r="F67" s="292"/>
      <c r="G67" s="292"/>
      <c r="H67" s="292"/>
      <c r="I67" s="292"/>
      <c r="J67" s="292"/>
      <c r="K67" s="292"/>
      <c r="L67" s="292"/>
      <c r="M67" s="292"/>
      <c r="N67" s="292"/>
      <c r="O67" s="293"/>
    </row>
    <row r="68" spans="1:15" x14ac:dyDescent="0.2">
      <c r="A68" s="284"/>
      <c r="B68" s="5"/>
      <c r="C68" s="286" t="s">
        <v>846</v>
      </c>
      <c r="D68" s="287" t="s">
        <v>468</v>
      </c>
      <c r="E68" s="288">
        <v>0</v>
      </c>
      <c r="F68" s="288">
        <v>1</v>
      </c>
      <c r="G68" s="288">
        <v>0.65</v>
      </c>
      <c r="H68" s="288">
        <v>10000</v>
      </c>
      <c r="I68" s="288"/>
      <c r="J68" s="288">
        <v>-10000</v>
      </c>
      <c r="K68" s="288">
        <v>10000</v>
      </c>
      <c r="L68" s="288" t="str">
        <f>'Kennzahlenbogen_(KB)'!O38</f>
        <v>n.d.</v>
      </c>
      <c r="M68" s="289">
        <f>IF('Kennzahlenbogen_(KB)'!P36=Berechnung1!$G$5,1,IF('Kennzahlenbogen_(KB)'!P36=Berechnung1!$F$5,1,IF('Kennzahlenbogen_(KB)'!P36=Berechnung1!$E$5,2,IF('Kennzahlenbogen_(KB)'!P36=Berechnung1!$D$5,3,IF('Kennzahlenbogen_(KB)'!P36=Berechnung1!$C$5,4,"")))))</f>
        <v>1</v>
      </c>
      <c r="N68" s="289">
        <f>IF(M68&gt;1,M68+3,M68)</f>
        <v>1</v>
      </c>
      <c r="O68" s="289">
        <f>IF('Kennzahlenbogen_(KB)'!R36="",0,1)</f>
        <v>0</v>
      </c>
    </row>
    <row r="69" spans="1:15" x14ac:dyDescent="0.2">
      <c r="A69" s="284"/>
      <c r="C69" s="290"/>
      <c r="D69" s="291"/>
      <c r="E69" s="292"/>
      <c r="F69" s="292"/>
      <c r="G69" s="292"/>
      <c r="H69" s="292"/>
      <c r="I69" s="292"/>
      <c r="J69" s="292"/>
      <c r="K69" s="292"/>
      <c r="L69" s="292"/>
      <c r="M69" s="292"/>
      <c r="N69" s="292"/>
      <c r="O69" s="293"/>
    </row>
    <row r="70" spans="1:15" x14ac:dyDescent="0.2">
      <c r="A70" s="284"/>
      <c r="C70" s="290"/>
      <c r="D70" s="291"/>
      <c r="E70" s="292"/>
      <c r="F70" s="292"/>
      <c r="G70" s="292"/>
      <c r="H70" s="292"/>
      <c r="I70" s="292"/>
      <c r="J70" s="292"/>
      <c r="K70" s="292"/>
      <c r="L70" s="292"/>
      <c r="M70" s="292"/>
      <c r="N70" s="292"/>
      <c r="O70" s="293"/>
    </row>
    <row r="71" spans="1:15" x14ac:dyDescent="0.2">
      <c r="A71" s="284"/>
      <c r="C71" s="286" t="s">
        <v>464</v>
      </c>
      <c r="D71" s="287" t="s">
        <v>468</v>
      </c>
      <c r="E71" s="288">
        <v>0</v>
      </c>
      <c r="F71" s="288">
        <v>1</v>
      </c>
      <c r="G71" s="288">
        <v>-10000</v>
      </c>
      <c r="H71" s="288">
        <v>10000</v>
      </c>
      <c r="I71" s="288"/>
      <c r="J71" s="288">
        <v>0.5</v>
      </c>
      <c r="K71" s="288">
        <v>10000</v>
      </c>
      <c r="L71" s="288" t="str">
        <f>'Kennzahlenbogen_(KB)'!O41</f>
        <v>n.d.</v>
      </c>
      <c r="M71" s="289">
        <f>IF('Kennzahlenbogen_(KB)'!P39=Berechnung1!$G$5,1,IF('Kennzahlenbogen_(KB)'!P39=Berechnung1!$F$5,1,IF('Kennzahlenbogen_(KB)'!P39=Berechnung1!$E$5,2,IF('Kennzahlenbogen_(KB)'!P39=Berechnung1!$D$5,3,IF('Kennzahlenbogen_(KB)'!P39=Berechnung1!$C$5,4,"")))))</f>
        <v>1</v>
      </c>
      <c r="N71" s="289">
        <f>IF(M71&gt;1,M71+3,M71)</f>
        <v>1</v>
      </c>
      <c r="O71" s="289">
        <f>IF('Kennzahlenbogen_(KB)'!R39="",0,1)</f>
        <v>0</v>
      </c>
    </row>
    <row r="72" spans="1:15" x14ac:dyDescent="0.2">
      <c r="A72" s="284"/>
      <c r="C72" s="290"/>
      <c r="D72" s="291"/>
      <c r="E72" s="292"/>
      <c r="F72" s="292"/>
      <c r="G72" s="292"/>
      <c r="H72" s="292"/>
      <c r="I72" s="292"/>
      <c r="J72" s="292"/>
      <c r="K72" s="292"/>
      <c r="L72" s="292"/>
      <c r="M72" s="292"/>
      <c r="N72" s="292"/>
      <c r="O72" s="293"/>
    </row>
    <row r="73" spans="1:15" x14ac:dyDescent="0.2">
      <c r="A73" s="284"/>
      <c r="C73" s="290"/>
      <c r="D73" s="291"/>
      <c r="E73" s="292"/>
      <c r="F73" s="292"/>
      <c r="G73" s="292"/>
      <c r="H73" s="292"/>
      <c r="I73" s="292"/>
      <c r="J73" s="292"/>
      <c r="K73" s="292"/>
      <c r="L73" s="292"/>
      <c r="M73" s="292"/>
      <c r="N73" s="292"/>
      <c r="O73" s="293"/>
    </row>
    <row r="74" spans="1:15" x14ac:dyDescent="0.2">
      <c r="A74" s="284"/>
      <c r="C74" s="286" t="s">
        <v>465</v>
      </c>
      <c r="D74" s="287" t="s">
        <v>468</v>
      </c>
      <c r="E74" s="288">
        <v>0</v>
      </c>
      <c r="F74" s="294">
        <v>10000</v>
      </c>
      <c r="G74" s="288">
        <v>0.05</v>
      </c>
      <c r="H74" s="288">
        <v>10000</v>
      </c>
      <c r="I74" s="288"/>
      <c r="J74" s="288">
        <v>-10000</v>
      </c>
      <c r="K74" s="288">
        <v>0.65</v>
      </c>
      <c r="L74" s="288" t="str">
        <f>'Kennzahlenbogen_(KB)'!O44</f>
        <v>n.d.</v>
      </c>
      <c r="M74" s="289">
        <f>IF('Kennzahlenbogen_(KB)'!P42=Berechnung1!$G$5,1,IF('Kennzahlenbogen_(KB)'!P42=Berechnung1!$F$5,1,IF('Kennzahlenbogen_(KB)'!P42=Berechnung1!$E$5,2,IF('Kennzahlenbogen_(KB)'!P42=Berechnung1!$D$5,3,IF('Kennzahlenbogen_(KB)'!P42=Berechnung1!$C$5,4,"")))))</f>
        <v>1</v>
      </c>
      <c r="N74" s="289">
        <f>IF(M74&gt;1,M74+3,M74)</f>
        <v>1</v>
      </c>
      <c r="O74" s="289">
        <f>IF('Kennzahlenbogen_(KB)'!R42="",0,1)</f>
        <v>0</v>
      </c>
    </row>
    <row r="75" spans="1:15" x14ac:dyDescent="0.2">
      <c r="A75" s="284"/>
      <c r="C75" s="290"/>
      <c r="D75" s="291"/>
      <c r="E75" s="292"/>
      <c r="F75" s="292"/>
      <c r="G75" s="292"/>
      <c r="H75" s="292"/>
      <c r="I75" s="292"/>
      <c r="J75" s="292"/>
      <c r="K75" s="292"/>
      <c r="L75" s="292"/>
      <c r="M75" s="292"/>
      <c r="N75" s="292"/>
      <c r="O75" s="293"/>
    </row>
    <row r="76" spans="1:15" x14ac:dyDescent="0.2">
      <c r="A76" s="284"/>
      <c r="C76" s="290"/>
      <c r="D76" s="291"/>
      <c r="E76" s="292"/>
      <c r="F76" s="292"/>
      <c r="G76" s="292"/>
      <c r="H76" s="292"/>
      <c r="I76" s="292"/>
      <c r="J76" s="292"/>
      <c r="K76" s="292"/>
      <c r="L76" s="292"/>
      <c r="M76" s="292"/>
      <c r="N76" s="292"/>
      <c r="O76" s="293"/>
    </row>
    <row r="77" spans="1:15" x14ac:dyDescent="0.2">
      <c r="A77" s="284"/>
      <c r="C77" s="286" t="s">
        <v>466</v>
      </c>
      <c r="D77" s="287" t="s">
        <v>468</v>
      </c>
      <c r="E77" s="288">
        <v>0</v>
      </c>
      <c r="F77" s="288">
        <v>1</v>
      </c>
      <c r="G77" s="288">
        <v>0.9</v>
      </c>
      <c r="H77" s="288">
        <v>10000</v>
      </c>
      <c r="I77" s="288"/>
      <c r="J77" s="288">
        <v>-10000</v>
      </c>
      <c r="K77" s="288">
        <v>10000</v>
      </c>
      <c r="L77" s="288" t="str">
        <f>'Kennzahlenbogen_(KB)'!O47</f>
        <v>n.d.</v>
      </c>
      <c r="M77" s="289">
        <f>IF('Kennzahlenbogen_(KB)'!P45=Berechnung1!$G$5,1,IF('Kennzahlenbogen_(KB)'!P45=Berechnung1!$F$5,1,IF('Kennzahlenbogen_(KB)'!P45=Berechnung1!$E$5,2,IF('Kennzahlenbogen_(KB)'!P45=Berechnung1!$D$5,3,IF('Kennzahlenbogen_(KB)'!P45=Berechnung1!$C$5,4,"")))))</f>
        <v>1</v>
      </c>
      <c r="N77" s="289">
        <f>IF(M77&gt;1,M77+3,M77)</f>
        <v>1</v>
      </c>
      <c r="O77" s="289">
        <f>IF('Kennzahlenbogen_(KB)'!R45="",0,1)</f>
        <v>0</v>
      </c>
    </row>
    <row r="78" spans="1:15" x14ac:dyDescent="0.2">
      <c r="A78" s="284"/>
      <c r="C78" s="295"/>
      <c r="D78" s="295"/>
      <c r="E78" s="295"/>
      <c r="F78" s="295"/>
      <c r="G78" s="295"/>
      <c r="H78" s="295"/>
      <c r="I78" s="295"/>
      <c r="J78" s="295"/>
      <c r="K78" s="295"/>
      <c r="L78" s="295"/>
      <c r="M78" s="295"/>
      <c r="N78" s="295"/>
      <c r="O78" s="295"/>
    </row>
    <row r="79" spans="1:15" x14ac:dyDescent="0.2">
      <c r="A79" s="284"/>
      <c r="C79" s="290"/>
      <c r="D79" s="291"/>
      <c r="E79" s="292"/>
      <c r="F79" s="292"/>
      <c r="G79" s="292"/>
      <c r="H79" s="292"/>
      <c r="I79" s="292"/>
      <c r="J79" s="292"/>
      <c r="K79" s="292"/>
      <c r="L79" s="292"/>
      <c r="M79" s="292"/>
      <c r="N79" s="292"/>
      <c r="O79" s="293"/>
    </row>
    <row r="80" spans="1:15" x14ac:dyDescent="0.2">
      <c r="A80" s="284"/>
      <c r="C80" s="440" t="s">
        <v>996</v>
      </c>
      <c r="D80" s="297">
        <v>0</v>
      </c>
      <c r="E80" s="297">
        <v>0</v>
      </c>
      <c r="F80" s="344">
        <v>1000000000000</v>
      </c>
      <c r="G80" s="297">
        <v>100</v>
      </c>
      <c r="H80" s="344">
        <v>1000000000000</v>
      </c>
      <c r="I80" s="297"/>
      <c r="J80" s="344">
        <v>-100000000</v>
      </c>
      <c r="K80" s="344">
        <v>10000000</v>
      </c>
      <c r="L80" s="297">
        <f>'Kennzahlenbogen_(KB)'!O48</f>
        <v>0</v>
      </c>
      <c r="M80" s="289">
        <f>IF('Kennzahlenbogen_(KB)'!P48=Berechnung1!$G$5,1,IF('Kennzahlenbogen_(KB)'!P48=Berechnung1!$F$5,1,IF('Kennzahlenbogen_(KB)'!P48=Berechnung1!$E$5,2,IF('Kennzahlenbogen_(KB)'!P48=Berechnung1!$D$5,3,IF('Kennzahlenbogen_(KB)'!P48=Berechnung1!$C$5,4,"")))))</f>
        <v>1</v>
      </c>
      <c r="N80" s="289">
        <f>IF(M80&gt;1,M80+3,M80)</f>
        <v>1</v>
      </c>
      <c r="O80" s="289">
        <f>IF('Kennzahlenbogen_(KB)'!R48="",0,1)</f>
        <v>0</v>
      </c>
    </row>
    <row r="81" spans="1:15" x14ac:dyDescent="0.2">
      <c r="A81" s="284"/>
      <c r="C81" s="290"/>
      <c r="D81" s="291"/>
      <c r="E81" s="292"/>
      <c r="F81" s="292"/>
      <c r="G81" s="292"/>
      <c r="H81" s="292"/>
      <c r="I81" s="292"/>
      <c r="J81" s="292"/>
      <c r="K81" s="292"/>
      <c r="L81" s="292"/>
      <c r="M81" s="292"/>
      <c r="N81" s="292"/>
      <c r="O81" s="292"/>
    </row>
    <row r="82" spans="1:15" x14ac:dyDescent="0.2">
      <c r="A82" s="284"/>
      <c r="C82" s="290"/>
      <c r="D82" s="291"/>
      <c r="E82" s="292"/>
      <c r="F82" s="292"/>
      <c r="G82" s="292"/>
      <c r="H82" s="292"/>
      <c r="I82" s="292"/>
      <c r="J82" s="292"/>
      <c r="K82" s="292"/>
      <c r="L82" s="292"/>
      <c r="M82" s="292"/>
      <c r="N82" s="292"/>
      <c r="O82" s="292"/>
    </row>
    <row r="83" spans="1:15" x14ac:dyDescent="0.2">
      <c r="A83" s="284"/>
      <c r="B83" s="278" t="s">
        <v>810</v>
      </c>
      <c r="C83" s="336" t="s">
        <v>997</v>
      </c>
      <c r="D83" s="332">
        <v>0</v>
      </c>
      <c r="E83" s="334">
        <v>0</v>
      </c>
      <c r="F83" s="333">
        <v>1000000000000</v>
      </c>
      <c r="G83" s="333">
        <v>-1000000000000</v>
      </c>
      <c r="H83" s="333">
        <v>1000000000000</v>
      </c>
      <c r="I83" s="334"/>
      <c r="J83" s="333">
        <v>-100000000</v>
      </c>
      <c r="K83" s="333">
        <v>10000000</v>
      </c>
      <c r="L83" s="333">
        <f>'Kennzahlenbogen_(KB)'!O51</f>
        <v>0</v>
      </c>
      <c r="M83" s="333">
        <f>IF('Kennzahlenbogen_(KB)'!P51=Berechnung1!$H$5,5,IF('Kennzahlenbogen_(KB)'!P51=Berechnung1!$G$5,1,IF('Kennzahlenbogen_(KB)'!P51=Berechnung1!$F$5,1,IF('Kennzahlenbogen_(KB)'!P51=Berechnung1!$E$5,2,IF('Kennzahlenbogen_(KB)'!P51=Berechnung1!$D$5,3,IF('Kennzahlenbogen_(KB)'!P51=Berechnung1!$C$5,4,""))))))</f>
        <v>1</v>
      </c>
      <c r="N83" s="333">
        <f t="shared" ref="N83" si="1">IF(M83&gt;1,M83+3,M83)</f>
        <v>1</v>
      </c>
      <c r="O83" s="333">
        <f>IF('Kennzahlenbogen_(KB)'!R51="",0,1)</f>
        <v>0</v>
      </c>
    </row>
    <row r="84" spans="1:15" x14ac:dyDescent="0.2">
      <c r="A84" s="284"/>
      <c r="C84" s="290"/>
      <c r="D84" s="291"/>
      <c r="E84" s="292"/>
      <c r="F84" s="292"/>
      <c r="G84" s="292"/>
      <c r="H84" s="292"/>
      <c r="I84" s="292"/>
      <c r="J84" s="292"/>
      <c r="K84" s="292"/>
      <c r="L84" s="292"/>
      <c r="M84" s="292"/>
      <c r="N84" s="292"/>
      <c r="O84" s="293"/>
    </row>
    <row r="85" spans="1:15" x14ac:dyDescent="0.2">
      <c r="A85" s="284"/>
      <c r="C85" s="290"/>
      <c r="D85" s="291"/>
      <c r="E85" s="292"/>
      <c r="F85" s="292"/>
      <c r="G85" s="292"/>
      <c r="H85" s="292"/>
      <c r="I85" s="292"/>
      <c r="J85" s="292"/>
      <c r="K85" s="292"/>
      <c r="L85" s="292"/>
      <c r="M85" s="292"/>
      <c r="N85" s="292"/>
      <c r="O85" s="293"/>
    </row>
    <row r="86" spans="1:15" x14ac:dyDescent="0.2">
      <c r="A86" s="284"/>
      <c r="C86" s="296">
        <v>15</v>
      </c>
      <c r="D86" s="287" t="s">
        <v>468</v>
      </c>
      <c r="E86" s="288">
        <v>0</v>
      </c>
      <c r="F86" s="294">
        <v>1</v>
      </c>
      <c r="G86" s="288">
        <v>-10000</v>
      </c>
      <c r="H86" s="288">
        <v>10000</v>
      </c>
      <c r="I86" s="288"/>
      <c r="J86" s="288">
        <v>0.7</v>
      </c>
      <c r="K86" s="288">
        <v>10000</v>
      </c>
      <c r="L86" s="288" t="str">
        <f>'Kennzahlenbogen_(KB)'!O56</f>
        <v>n.d.</v>
      </c>
      <c r="M86" s="289">
        <f>IF('Kennzahlenbogen_(KB)'!P54=Berechnung1!$G$5,1,IF('Kennzahlenbogen_(KB)'!P54=Berechnung1!$F$5,1,IF('Kennzahlenbogen_(KB)'!P54=Berechnung1!$E$5,2,IF('Kennzahlenbogen_(KB)'!P54=Berechnung1!$D$5,3,IF('Kennzahlenbogen_(KB)'!P54=Berechnung1!$C$5,4,"")))))</f>
        <v>1</v>
      </c>
      <c r="N86" s="289">
        <f>IF(M86&gt;1,M86+3,M86)</f>
        <v>1</v>
      </c>
      <c r="O86" s="289">
        <f>IF('Kennzahlenbogen_(KB)'!R54="",0,1)</f>
        <v>0</v>
      </c>
    </row>
    <row r="87" spans="1:15" x14ac:dyDescent="0.2">
      <c r="A87" s="284"/>
      <c r="C87" s="290"/>
      <c r="D87" s="291"/>
      <c r="E87" s="292"/>
      <c r="F87" s="292"/>
      <c r="G87" s="292"/>
      <c r="H87" s="292"/>
      <c r="I87" s="292"/>
      <c r="J87" s="292"/>
      <c r="K87" s="292"/>
      <c r="L87" s="292"/>
      <c r="M87" s="292"/>
      <c r="N87" s="292"/>
      <c r="O87" s="293"/>
    </row>
    <row r="88" spans="1:15" x14ac:dyDescent="0.2">
      <c r="A88" s="284"/>
      <c r="C88" s="290"/>
      <c r="D88" s="291"/>
      <c r="E88" s="292"/>
      <c r="F88" s="292"/>
      <c r="G88" s="292"/>
      <c r="H88" s="292"/>
      <c r="I88" s="292"/>
      <c r="J88" s="292"/>
      <c r="K88" s="292"/>
      <c r="L88" s="292"/>
      <c r="M88" s="292"/>
      <c r="N88" s="292"/>
      <c r="O88" s="293"/>
    </row>
    <row r="89" spans="1:15" x14ac:dyDescent="0.2">
      <c r="A89" s="284"/>
      <c r="C89" s="296">
        <v>16</v>
      </c>
      <c r="D89" s="287" t="s">
        <v>468</v>
      </c>
      <c r="E89" s="288">
        <v>0</v>
      </c>
      <c r="F89" s="288">
        <v>1</v>
      </c>
      <c r="G89" s="288">
        <v>0.7</v>
      </c>
      <c r="H89" s="288">
        <v>10000</v>
      </c>
      <c r="I89" s="288"/>
      <c r="J89" s="288">
        <v>-10000</v>
      </c>
      <c r="K89" s="288">
        <v>10000</v>
      </c>
      <c r="L89" s="288" t="str">
        <f>'Kennzahlenbogen_(KB)'!O59</f>
        <v>n.d.</v>
      </c>
      <c r="M89" s="289">
        <f>IF('Kennzahlenbogen_(KB)'!P57=Berechnung1!$G$5,1,IF('Kennzahlenbogen_(KB)'!P57=Berechnung1!$F$5,1,IF('Kennzahlenbogen_(KB)'!P57=Berechnung1!$E$5,2,IF('Kennzahlenbogen_(KB)'!P57=Berechnung1!$D$5,3,IF('Kennzahlenbogen_(KB)'!P57=Berechnung1!$C$5,4,"")))))</f>
        <v>1</v>
      </c>
      <c r="N89" s="289">
        <f>IF(M89&gt;1,M89+3,M89)</f>
        <v>1</v>
      </c>
      <c r="O89" s="289">
        <f>IF('Kennzahlenbogen_(KB)'!R57="",0,1)</f>
        <v>0</v>
      </c>
    </row>
    <row r="90" spans="1:15" x14ac:dyDescent="0.2">
      <c r="A90" s="284"/>
      <c r="C90" s="290"/>
      <c r="D90" s="291"/>
      <c r="E90" s="292"/>
      <c r="F90" s="292"/>
      <c r="G90" s="292"/>
      <c r="H90" s="292"/>
      <c r="I90" s="292"/>
      <c r="J90" s="292"/>
      <c r="K90" s="298"/>
      <c r="L90" s="292"/>
      <c r="M90" s="292"/>
      <c r="N90" s="292"/>
      <c r="O90" s="293"/>
    </row>
    <row r="91" spans="1:15" x14ac:dyDescent="0.2">
      <c r="A91" s="284"/>
      <c r="C91" s="290"/>
      <c r="D91" s="291"/>
      <c r="E91" s="292"/>
      <c r="F91" s="292"/>
      <c r="G91" s="292"/>
      <c r="H91" s="292"/>
      <c r="I91" s="292"/>
      <c r="J91" s="292"/>
      <c r="K91" s="298"/>
      <c r="L91" s="292"/>
      <c r="M91" s="292"/>
      <c r="N91" s="292"/>
      <c r="O91" s="293"/>
    </row>
    <row r="92" spans="1:15" x14ac:dyDescent="0.2">
      <c r="A92" s="284"/>
      <c r="C92" s="296">
        <v>17</v>
      </c>
      <c r="D92" s="287" t="s">
        <v>468</v>
      </c>
      <c r="E92" s="288">
        <v>0</v>
      </c>
      <c r="F92" s="288">
        <v>1</v>
      </c>
      <c r="G92" s="288">
        <v>-10000</v>
      </c>
      <c r="H92" s="288">
        <v>10000</v>
      </c>
      <c r="I92" s="288"/>
      <c r="J92" s="288">
        <v>0.15</v>
      </c>
      <c r="K92" s="288">
        <v>0.4</v>
      </c>
      <c r="L92" s="288" t="str">
        <f>'Kennzahlenbogen_(KB)'!O62</f>
        <v>n.d.</v>
      </c>
      <c r="M92" s="289">
        <f>IF('Kennzahlenbogen_(KB)'!P60=Berechnung1!$G$5,1,IF('Kennzahlenbogen_(KB)'!P60=Berechnung1!$F$5,1,IF('Kennzahlenbogen_(KB)'!P60=Berechnung1!$E$5,2,IF('Kennzahlenbogen_(KB)'!P60=Berechnung1!$D$5,3,IF('Kennzahlenbogen_(KB)'!P60=Berechnung1!$C$5,4,"")))))</f>
        <v>1</v>
      </c>
      <c r="N92" s="289">
        <f>IF(M92&gt;1,M92+3,M92)</f>
        <v>1</v>
      </c>
      <c r="O92" s="289">
        <f>IF('Kennzahlenbogen_(KB)'!R60="",0,1)</f>
        <v>0</v>
      </c>
    </row>
    <row r="93" spans="1:15" x14ac:dyDescent="0.2">
      <c r="A93" s="284"/>
      <c r="C93" s="290"/>
      <c r="D93" s="291"/>
      <c r="E93" s="292"/>
      <c r="F93" s="292"/>
      <c r="G93" s="292"/>
      <c r="H93" s="292"/>
      <c r="I93" s="292"/>
      <c r="J93" s="292"/>
      <c r="K93" s="292"/>
      <c r="L93" s="292"/>
      <c r="M93" s="292"/>
      <c r="N93" s="292"/>
      <c r="O93" s="293"/>
    </row>
    <row r="94" spans="1:15" x14ac:dyDescent="0.2">
      <c r="A94" s="284"/>
      <c r="C94" s="290"/>
      <c r="D94" s="291"/>
      <c r="E94" s="292"/>
      <c r="F94" s="292"/>
      <c r="G94" s="292"/>
      <c r="H94" s="292"/>
      <c r="I94" s="292"/>
      <c r="J94" s="292"/>
      <c r="K94" s="292"/>
      <c r="L94" s="292"/>
      <c r="M94" s="292"/>
      <c r="N94" s="292"/>
      <c r="O94" s="293"/>
    </row>
    <row r="95" spans="1:15" x14ac:dyDescent="0.2">
      <c r="A95" s="284"/>
      <c r="B95" s="278" t="s">
        <v>810</v>
      </c>
      <c r="C95" s="336">
        <v>18</v>
      </c>
      <c r="D95" s="332" t="s">
        <v>468</v>
      </c>
      <c r="E95" s="334">
        <v>0</v>
      </c>
      <c r="F95" s="334">
        <v>1</v>
      </c>
      <c r="G95" s="334">
        <v>-10000</v>
      </c>
      <c r="H95" s="334">
        <v>0.05</v>
      </c>
      <c r="I95" s="334"/>
      <c r="J95" s="334">
        <v>-10000</v>
      </c>
      <c r="K95" s="334">
        <v>10000</v>
      </c>
      <c r="L95" s="334" t="str">
        <f>'Kennzahlenbogen_(KB)'!O65</f>
        <v>n.d.</v>
      </c>
      <c r="M95" s="333">
        <f>IF('Kennzahlenbogen_(KB)'!P63=Berechnung1!$H$5,5,IF('Kennzahlenbogen_(KB)'!P63=Berechnung1!$G$5,1,IF('Kennzahlenbogen_(KB)'!P63=Berechnung1!$F$5,1,IF('Kennzahlenbogen_(KB)'!P63=Berechnung1!$E$5,2,IF(AND('Kennzahlenbogen_(KB)'!P63=Berechnung1!$D$5,'Kennzahlenbogen_(KB)'!O63=0,'Kennzahlenbogen_(KB)'!O64=0),5,IF('Kennzahlenbogen_(KB)'!P63=Berechnung1!$D$5,3,IF('Kennzahlenbogen_(KB)'!P63=Berechnung1!$C$5,4,"")))))))</f>
        <v>1</v>
      </c>
      <c r="N95" s="333">
        <f>IF(M95&gt;1,M95+3,M95)</f>
        <v>1</v>
      </c>
      <c r="O95" s="333">
        <f>IF('Kennzahlenbogen_(KB)'!R63="",0,1)</f>
        <v>0</v>
      </c>
    </row>
    <row r="96" spans="1:15" x14ac:dyDescent="0.2">
      <c r="A96" s="284"/>
      <c r="C96" s="290"/>
      <c r="D96" s="291"/>
      <c r="E96" s="292"/>
      <c r="F96" s="292"/>
      <c r="G96" s="292"/>
      <c r="H96" s="292"/>
      <c r="I96" s="292"/>
      <c r="J96" s="292"/>
      <c r="K96" s="292"/>
      <c r="L96" s="292"/>
      <c r="M96" s="292"/>
      <c r="N96" s="292"/>
      <c r="O96" s="293"/>
    </row>
    <row r="97" spans="1:15" x14ac:dyDescent="0.2">
      <c r="A97" s="284"/>
      <c r="C97" s="290"/>
      <c r="D97" s="291"/>
      <c r="E97" s="292"/>
      <c r="F97" s="292"/>
      <c r="G97" s="292"/>
      <c r="H97" s="292"/>
      <c r="I97" s="292"/>
      <c r="J97" s="292"/>
      <c r="K97" s="292"/>
      <c r="L97" s="292"/>
      <c r="M97" s="292"/>
      <c r="N97" s="292"/>
      <c r="O97" s="293"/>
    </row>
    <row r="98" spans="1:15" x14ac:dyDescent="0.2">
      <c r="A98" s="284"/>
      <c r="C98" s="296">
        <v>19</v>
      </c>
      <c r="D98" s="287" t="s">
        <v>468</v>
      </c>
      <c r="E98" s="288">
        <v>0</v>
      </c>
      <c r="F98" s="288">
        <v>1</v>
      </c>
      <c r="G98" s="288">
        <v>0.95</v>
      </c>
      <c r="H98" s="288">
        <v>10000</v>
      </c>
      <c r="I98" s="288"/>
      <c r="J98" s="288">
        <v>-10000</v>
      </c>
      <c r="K98" s="288">
        <v>10000</v>
      </c>
      <c r="L98" s="288" t="str">
        <f>'Kennzahlenbogen_(KB)'!O68</f>
        <v>n.d.</v>
      </c>
      <c r="M98" s="289">
        <f>IF('Kennzahlenbogen_(KB)'!P66=Berechnung1!$G$5,1,IF('Kennzahlenbogen_(KB)'!P66=Berechnung1!$F$5,1,IF('Kennzahlenbogen_(KB)'!P66=Berechnung1!$E$5,2,IF('Kennzahlenbogen_(KB)'!P66=Berechnung1!$D$5,3,IF('Kennzahlenbogen_(KB)'!P66=Berechnung1!$C$5,4,"")))))</f>
        <v>1</v>
      </c>
      <c r="N98" s="289">
        <f>IF(M98&gt;1,M98+3,M98)</f>
        <v>1</v>
      </c>
      <c r="O98" s="289">
        <f>IF('Kennzahlenbogen_(KB)'!R66="",0,1)</f>
        <v>0</v>
      </c>
    </row>
    <row r="99" spans="1:15" x14ac:dyDescent="0.2">
      <c r="A99" s="284"/>
      <c r="C99" s="290"/>
      <c r="D99" s="291"/>
      <c r="E99" s="292"/>
      <c r="F99" s="292"/>
      <c r="G99" s="292"/>
      <c r="H99" s="292"/>
      <c r="I99" s="292"/>
      <c r="J99" s="292"/>
      <c r="K99" s="292"/>
      <c r="L99" s="292"/>
      <c r="M99" s="292"/>
      <c r="N99" s="292"/>
      <c r="O99" s="293"/>
    </row>
    <row r="100" spans="1:15" x14ac:dyDescent="0.2">
      <c r="A100" s="284"/>
      <c r="C100" s="290"/>
      <c r="D100" s="291"/>
      <c r="E100" s="292"/>
      <c r="F100" s="292"/>
      <c r="G100" s="292"/>
      <c r="H100" s="292"/>
      <c r="I100" s="292"/>
      <c r="J100" s="292"/>
      <c r="K100" s="292"/>
      <c r="L100" s="292"/>
      <c r="M100" s="292"/>
      <c r="N100" s="292"/>
      <c r="O100" s="293"/>
    </row>
    <row r="101" spans="1:15" ht="15" customHeight="1" x14ac:dyDescent="0.2">
      <c r="A101" s="284"/>
      <c r="B101" s="278" t="s">
        <v>810</v>
      </c>
      <c r="C101" s="336" t="s">
        <v>886</v>
      </c>
      <c r="D101" s="332" t="s">
        <v>468</v>
      </c>
      <c r="E101" s="334">
        <v>0</v>
      </c>
      <c r="F101" s="334">
        <v>1</v>
      </c>
      <c r="G101" s="334">
        <v>0.8</v>
      </c>
      <c r="H101" s="334">
        <v>10000</v>
      </c>
      <c r="I101" s="334"/>
      <c r="J101" s="334">
        <v>-10000</v>
      </c>
      <c r="K101" s="334">
        <v>10000</v>
      </c>
      <c r="L101" s="334" t="str">
        <f>'Kennzahlenbogen_(KB)'!O71</f>
        <v>n.d.</v>
      </c>
      <c r="M101" s="333">
        <f>IF('Kennzahlenbogen_(KB)'!P69=Berechnung1!$H$5,5,IF('Kennzahlenbogen_(KB)'!P69=Berechnung1!$G$5,1,IF('Kennzahlenbogen_(KB)'!P69=Berechnung1!$F$5,1,IF('Kennzahlenbogen_(KB)'!P69=Berechnung1!$E$5,2,IF(AND('Kennzahlenbogen_(KB)'!P69=Berechnung1!$D$5,'Kennzahlenbogen_(KB)'!O69=0,'Kennzahlenbogen_(KB)'!O70=0),5,IF('Kennzahlenbogen_(KB)'!P69=Berechnung1!$D$5,3,IF('Kennzahlenbogen_(KB)'!P69=Berechnung1!$C$5,4,"")))))))</f>
        <v>1</v>
      </c>
      <c r="N101" s="333">
        <f>IF(M101&gt;1,M101+3,M101)</f>
        <v>1</v>
      </c>
      <c r="O101" s="333">
        <f>IF('Kennzahlenbogen_(KB)'!R69="",0,1)</f>
        <v>0</v>
      </c>
    </row>
    <row r="102" spans="1:15" ht="15" customHeight="1" x14ac:dyDescent="0.2">
      <c r="A102" s="284"/>
      <c r="C102" s="290"/>
      <c r="D102" s="291"/>
      <c r="E102" s="292"/>
      <c r="F102" s="292"/>
      <c r="G102" s="292"/>
      <c r="H102" s="292"/>
      <c r="I102" s="292"/>
      <c r="J102" s="292"/>
      <c r="K102" s="292"/>
      <c r="L102" s="292"/>
      <c r="M102" s="338"/>
      <c r="N102" s="338"/>
      <c r="O102" s="338"/>
    </row>
    <row r="103" spans="1:15" ht="15" customHeight="1" x14ac:dyDescent="0.2">
      <c r="A103" s="284"/>
      <c r="C103" s="290"/>
      <c r="D103" s="291"/>
      <c r="E103" s="292"/>
      <c r="F103" s="292"/>
      <c r="G103" s="292"/>
      <c r="H103" s="292"/>
      <c r="I103" s="292"/>
      <c r="J103" s="292"/>
      <c r="K103" s="292"/>
      <c r="L103" s="292"/>
      <c r="M103" s="338"/>
      <c r="N103" s="338"/>
      <c r="O103" s="338"/>
    </row>
    <row r="104" spans="1:15" ht="15" customHeight="1" x14ac:dyDescent="0.2">
      <c r="A104" s="284"/>
      <c r="B104" s="278" t="s">
        <v>810</v>
      </c>
      <c r="C104" s="336" t="s">
        <v>889</v>
      </c>
      <c r="D104" s="332" t="s">
        <v>468</v>
      </c>
      <c r="E104" s="334">
        <v>0</v>
      </c>
      <c r="F104" s="334">
        <v>1</v>
      </c>
      <c r="G104" s="334">
        <v>0.8</v>
      </c>
      <c r="H104" s="334">
        <v>10000</v>
      </c>
      <c r="I104" s="334"/>
      <c r="J104" s="334">
        <v>-10000</v>
      </c>
      <c r="K104" s="334">
        <v>10000</v>
      </c>
      <c r="L104" s="334" t="str">
        <f>'Kennzahlenbogen_(KB)'!O74</f>
        <v>n.d.</v>
      </c>
      <c r="M104" s="333">
        <f>IF('Kennzahlenbogen_(KB)'!P72=Berechnung1!$H$5,5,IF('Kennzahlenbogen_(KB)'!P72=Berechnung1!$G$5,1,IF('Kennzahlenbogen_(KB)'!P72=Berechnung1!$F$5,1,IF('Kennzahlenbogen_(KB)'!P72=Berechnung1!$E$5,2,IF(AND('Kennzahlenbogen_(KB)'!P72=Berechnung1!$D$5,'Kennzahlenbogen_(KB)'!O72=0,'Kennzahlenbogen_(KB)'!O73=0),5,IF('Kennzahlenbogen_(KB)'!P72=Berechnung1!$D$5,3,IF('Kennzahlenbogen_(KB)'!P72=Berechnung1!$C$5,4,"")))))))</f>
        <v>1</v>
      </c>
      <c r="N104" s="333">
        <f t="shared" ref="N104" si="2">IF(M104&gt;1,M104+3,M104)</f>
        <v>1</v>
      </c>
      <c r="O104" s="333">
        <f>IF('Kennzahlenbogen_(KB)'!R72="",0,1)</f>
        <v>0</v>
      </c>
    </row>
    <row r="105" spans="1:15" ht="15" customHeight="1" x14ac:dyDescent="0.2">
      <c r="A105" s="284"/>
      <c r="C105" s="290"/>
      <c r="D105" s="291"/>
      <c r="E105" s="292"/>
      <c r="F105" s="292"/>
      <c r="G105" s="292"/>
      <c r="H105" s="292"/>
      <c r="I105" s="292"/>
      <c r="J105" s="292"/>
      <c r="K105" s="292"/>
      <c r="L105" s="292"/>
      <c r="M105" s="292"/>
      <c r="N105" s="292"/>
      <c r="O105" s="293"/>
    </row>
    <row r="106" spans="1:15" ht="15" customHeight="1" x14ac:dyDescent="0.2">
      <c r="A106" s="284"/>
      <c r="C106" s="290"/>
      <c r="D106" s="291"/>
      <c r="E106" s="292"/>
      <c r="F106" s="292"/>
      <c r="G106" s="292"/>
      <c r="H106" s="292"/>
      <c r="I106" s="292"/>
      <c r="J106" s="292"/>
      <c r="K106" s="292"/>
      <c r="L106" s="292"/>
      <c r="M106" s="292"/>
      <c r="N106" s="292"/>
      <c r="O106" s="293"/>
    </row>
    <row r="107" spans="1:15" x14ac:dyDescent="0.2">
      <c r="A107" s="284"/>
      <c r="C107" s="296">
        <v>21</v>
      </c>
      <c r="D107" s="287" t="s">
        <v>468</v>
      </c>
      <c r="E107" s="288">
        <v>0</v>
      </c>
      <c r="F107" s="288">
        <v>1</v>
      </c>
      <c r="G107" s="288">
        <v>0.95</v>
      </c>
      <c r="H107" s="288">
        <v>10000</v>
      </c>
      <c r="I107" s="288"/>
      <c r="J107" s="288">
        <v>-10000</v>
      </c>
      <c r="K107" s="288">
        <v>10000</v>
      </c>
      <c r="L107" s="288" t="str">
        <f>'Kennzahlenbogen_(KB)'!O77</f>
        <v>n.d.</v>
      </c>
      <c r="M107" s="289">
        <f>IF('Kennzahlenbogen_(KB)'!P75=Berechnung1!$G$5,1,IF('Kennzahlenbogen_(KB)'!P75=Berechnung1!$F$5,1,IF('Kennzahlenbogen_(KB)'!P75=Berechnung1!$E$5,2,IF('Kennzahlenbogen_(KB)'!P75=Berechnung1!$D$5,3,IF('Kennzahlenbogen_(KB)'!P75=Berechnung1!$C$5,4,"")))))</f>
        <v>1</v>
      </c>
      <c r="N107" s="289">
        <f>IF(M107&gt;1,M107+3,M107)</f>
        <v>1</v>
      </c>
      <c r="O107" s="289">
        <f>IF('Kennzahlenbogen_(KB)'!R75="",0,1)</f>
        <v>0</v>
      </c>
    </row>
    <row r="108" spans="1:15" x14ac:dyDescent="0.2">
      <c r="A108" s="284"/>
      <c r="C108" s="290"/>
      <c r="D108" s="291"/>
      <c r="E108" s="292"/>
      <c r="F108" s="292"/>
      <c r="G108" s="292"/>
      <c r="H108" s="292"/>
      <c r="I108" s="292"/>
      <c r="J108" s="292"/>
      <c r="K108" s="292"/>
      <c r="L108" s="292"/>
      <c r="M108" s="292"/>
      <c r="N108" s="292"/>
      <c r="O108" s="293"/>
    </row>
    <row r="109" spans="1:15" x14ac:dyDescent="0.2">
      <c r="A109" s="284"/>
      <c r="C109" s="290"/>
      <c r="D109" s="291"/>
      <c r="E109" s="292"/>
      <c r="F109" s="292"/>
      <c r="G109" s="292"/>
      <c r="H109" s="292"/>
      <c r="I109" s="292"/>
      <c r="J109" s="292"/>
      <c r="K109" s="292"/>
      <c r="L109" s="292"/>
      <c r="M109" s="292"/>
      <c r="N109" s="292"/>
      <c r="O109" s="293"/>
    </row>
    <row r="110" spans="1:15" x14ac:dyDescent="0.2">
      <c r="A110" s="284"/>
      <c r="C110" s="296">
        <v>22</v>
      </c>
      <c r="D110" s="287" t="s">
        <v>468</v>
      </c>
      <c r="E110" s="288">
        <v>0</v>
      </c>
      <c r="F110" s="288">
        <v>1</v>
      </c>
      <c r="G110" s="288">
        <v>-10000</v>
      </c>
      <c r="H110" s="288">
        <v>0.05</v>
      </c>
      <c r="I110" s="288"/>
      <c r="J110" s="299">
        <v>1E-4</v>
      </c>
      <c r="K110" s="288">
        <v>10000</v>
      </c>
      <c r="L110" s="288" t="str">
        <f>'Kennzahlenbogen_(KB)'!O80</f>
        <v>n.d.</v>
      </c>
      <c r="M110" s="289">
        <f>IF('Kennzahlenbogen_(KB)'!P78=Berechnung1!$G$5,1,IF('Kennzahlenbogen_(KB)'!P78=Berechnung1!$F$5,1,IF('Kennzahlenbogen_(KB)'!P78=Berechnung1!$E$5,2,IF('Kennzahlenbogen_(KB)'!P78=Berechnung1!$D$5,3,IF('Kennzahlenbogen_(KB)'!P78=Berechnung1!$C$5,4,"")))))</f>
        <v>1</v>
      </c>
      <c r="N110" s="289">
        <f>IF(M110&gt;1,M110+3,M110)</f>
        <v>1</v>
      </c>
      <c r="O110" s="289">
        <f>IF('Kennzahlenbogen_(KB)'!R78="",0,1)</f>
        <v>0</v>
      </c>
    </row>
    <row r="111" spans="1:15" x14ac:dyDescent="0.2">
      <c r="A111" s="284"/>
      <c r="C111" s="291"/>
      <c r="D111" s="291"/>
      <c r="E111" s="292"/>
      <c r="F111" s="292"/>
      <c r="G111" s="292"/>
      <c r="H111" s="292"/>
      <c r="I111" s="292"/>
      <c r="J111" s="300"/>
      <c r="K111" s="292"/>
      <c r="L111" s="337"/>
      <c r="M111" s="338"/>
      <c r="N111" s="338"/>
      <c r="O111" s="338"/>
    </row>
    <row r="112" spans="1:15" x14ac:dyDescent="0.2">
      <c r="A112" s="284"/>
      <c r="C112" s="291"/>
      <c r="D112" s="291"/>
      <c r="E112" s="292"/>
      <c r="F112" s="292"/>
      <c r="G112" s="292"/>
      <c r="H112" s="292"/>
      <c r="I112" s="292"/>
      <c r="J112" s="300"/>
      <c r="K112" s="292"/>
      <c r="L112" s="337"/>
      <c r="M112" s="338"/>
      <c r="N112" s="338"/>
      <c r="O112" s="338"/>
    </row>
    <row r="113" spans="1:15" x14ac:dyDescent="0.2">
      <c r="B113" s="278" t="s">
        <v>810</v>
      </c>
      <c r="C113" s="336">
        <v>23</v>
      </c>
      <c r="D113" s="332" t="s">
        <v>468</v>
      </c>
      <c r="E113" s="334">
        <v>0</v>
      </c>
      <c r="F113" s="334">
        <v>1</v>
      </c>
      <c r="G113" s="334">
        <v>-10000</v>
      </c>
      <c r="H113" s="334">
        <v>0.05</v>
      </c>
      <c r="I113" s="334"/>
      <c r="J113" s="334">
        <v>-10000</v>
      </c>
      <c r="K113" s="334">
        <v>10000</v>
      </c>
      <c r="L113" s="334" t="str">
        <f>'Kennzahlenbogen_(KB)'!O83</f>
        <v>n.d.</v>
      </c>
      <c r="M113" s="333">
        <f>IF('Kennzahlenbogen_(KB)'!P81=Berechnung1!$H$5,5,IF('Kennzahlenbogen_(KB)'!P81=Berechnung1!$G$5,1,IF('Kennzahlenbogen_(KB)'!P81=Berechnung1!$F$5,1,IF('Kennzahlenbogen_(KB)'!P81=Berechnung1!$E$5,2,IF(AND('Kennzahlenbogen_(KB)'!P81=Berechnung1!$D$5,'Kennzahlenbogen_(KB)'!O81=0,'Kennzahlenbogen_(KB)'!O82=0),5,IF('Kennzahlenbogen_(KB)'!P81=Berechnung1!$D$5,3,IF('Kennzahlenbogen_(KB)'!P81=Berechnung1!$C$5,4,"")))))))</f>
        <v>1</v>
      </c>
      <c r="N113" s="333">
        <f t="shared" ref="N113" si="3">IF(M113&gt;1,M113+3,M113)</f>
        <v>1</v>
      </c>
      <c r="O113" s="333">
        <f>IF('Kennzahlenbogen_(KB)'!R81="",0,1)</f>
        <v>0</v>
      </c>
    </row>
    <row r="114" spans="1:15" x14ac:dyDescent="0.2">
      <c r="C114" s="295"/>
      <c r="D114" s="295"/>
      <c r="E114" s="295"/>
      <c r="F114" s="295"/>
      <c r="G114" s="295"/>
      <c r="H114" s="295"/>
      <c r="I114" s="295"/>
      <c r="J114" s="295"/>
      <c r="K114" s="295"/>
      <c r="L114" s="295"/>
      <c r="M114" s="295"/>
      <c r="N114" s="295"/>
      <c r="O114" s="295"/>
    </row>
    <row r="115" spans="1:15" x14ac:dyDescent="0.2">
      <c r="C115" s="295"/>
      <c r="D115" s="295"/>
      <c r="E115" s="295"/>
      <c r="F115" s="295"/>
      <c r="G115" s="295"/>
      <c r="H115" s="295"/>
      <c r="I115" s="295"/>
      <c r="J115" s="295"/>
      <c r="K115" s="295"/>
      <c r="L115" s="295"/>
      <c r="M115" s="295"/>
      <c r="N115" s="295"/>
      <c r="O115" s="295"/>
    </row>
    <row r="116" spans="1:15" hidden="1" x14ac:dyDescent="0.2">
      <c r="A116" s="277" t="s">
        <v>192</v>
      </c>
      <c r="B116" s="277"/>
      <c r="C116" s="277"/>
      <c r="D116" s="277"/>
      <c r="I116" s="277" t="s">
        <v>191</v>
      </c>
      <c r="J116" s="279"/>
      <c r="K116" s="279"/>
      <c r="L116" s="279"/>
    </row>
    <row r="117" spans="1:15" hidden="1" x14ac:dyDescent="0.2">
      <c r="A117" s="277" t="s">
        <v>142</v>
      </c>
      <c r="C117" s="277" t="s">
        <v>143</v>
      </c>
      <c r="D117" s="277" t="s">
        <v>499</v>
      </c>
      <c r="J117" s="279"/>
      <c r="K117" s="279"/>
      <c r="L117" s="279"/>
    </row>
    <row r="118" spans="1:15" hidden="1" x14ac:dyDescent="0.2">
      <c r="A118" s="787" t="s">
        <v>711</v>
      </c>
      <c r="B118" s="787"/>
      <c r="C118" s="278" t="s">
        <v>618</v>
      </c>
      <c r="D118" s="278" t="s">
        <v>712</v>
      </c>
      <c r="I118" s="278" t="s">
        <v>426</v>
      </c>
      <c r="J118" s="279"/>
      <c r="K118" s="279"/>
      <c r="L118" s="279"/>
    </row>
    <row r="119" spans="1:15" hidden="1" x14ac:dyDescent="0.2">
      <c r="A119" s="788"/>
      <c r="B119" s="788"/>
      <c r="D119" s="278" t="s">
        <v>598</v>
      </c>
      <c r="I119" s="278" t="s">
        <v>425</v>
      </c>
      <c r="J119" s="279"/>
      <c r="K119" s="279"/>
      <c r="L119" s="279"/>
    </row>
    <row r="120" spans="1:15" hidden="1" x14ac:dyDescent="0.2">
      <c r="D120" s="278" t="s">
        <v>599</v>
      </c>
      <c r="J120" s="279"/>
      <c r="K120" s="279"/>
      <c r="L120" s="279"/>
    </row>
    <row r="121" spans="1:15" hidden="1" x14ac:dyDescent="0.2">
      <c r="I121" s="278" t="s">
        <v>728</v>
      </c>
      <c r="J121" s="279"/>
      <c r="K121" s="279"/>
      <c r="L121" s="279"/>
    </row>
    <row r="122" spans="1:15" hidden="1" x14ac:dyDescent="0.2">
      <c r="A122" s="785" t="s">
        <v>726</v>
      </c>
      <c r="B122" s="785"/>
      <c r="C122" s="278" t="s">
        <v>618</v>
      </c>
      <c r="D122" s="278" t="s">
        <v>712</v>
      </c>
      <c r="J122" s="279"/>
      <c r="K122" s="279"/>
      <c r="L122" s="279"/>
    </row>
    <row r="123" spans="1:15" hidden="1" x14ac:dyDescent="0.2">
      <c r="D123" s="278" t="s">
        <v>598</v>
      </c>
      <c r="J123" s="279"/>
      <c r="K123" s="279"/>
      <c r="L123" s="279"/>
    </row>
    <row r="124" spans="1:15" hidden="1" x14ac:dyDescent="0.2">
      <c r="D124" s="278" t="s">
        <v>599</v>
      </c>
      <c r="J124" s="279"/>
      <c r="K124" s="279"/>
      <c r="L124" s="279"/>
    </row>
    <row r="125" spans="1:15" hidden="1" x14ac:dyDescent="0.2">
      <c r="J125" s="279"/>
      <c r="K125" s="279"/>
      <c r="L125" s="279"/>
    </row>
    <row r="126" spans="1:15" hidden="1" x14ac:dyDescent="0.2">
      <c r="A126" s="785" t="s">
        <v>718</v>
      </c>
      <c r="B126" s="785"/>
      <c r="C126" s="278" t="s">
        <v>619</v>
      </c>
      <c r="D126" s="278" t="s">
        <v>427</v>
      </c>
      <c r="I126" s="278" t="s">
        <v>141</v>
      </c>
      <c r="J126" s="279"/>
      <c r="K126" s="279"/>
      <c r="L126" s="279"/>
    </row>
    <row r="127" spans="1:15" hidden="1" x14ac:dyDescent="0.2">
      <c r="A127" s="785" t="s">
        <v>725</v>
      </c>
      <c r="B127" s="785"/>
      <c r="D127" s="278" t="s">
        <v>424</v>
      </c>
      <c r="J127" s="279"/>
      <c r="K127" s="279"/>
      <c r="L127" s="279"/>
    </row>
    <row r="128" spans="1:15" hidden="1" x14ac:dyDescent="0.2">
      <c r="I128" s="278" t="s">
        <v>139</v>
      </c>
      <c r="J128" s="279"/>
      <c r="K128" s="279"/>
      <c r="L128" s="279"/>
    </row>
    <row r="129" spans="1:12" hidden="1" x14ac:dyDescent="0.2">
      <c r="A129" s="785" t="s">
        <v>718</v>
      </c>
      <c r="B129" s="785"/>
      <c r="C129" s="278" t="s">
        <v>618</v>
      </c>
      <c r="D129" s="278" t="s">
        <v>422</v>
      </c>
      <c r="I129" s="278" t="s">
        <v>140</v>
      </c>
      <c r="J129" s="279"/>
      <c r="K129" s="279"/>
      <c r="L129" s="279"/>
    </row>
    <row r="130" spans="1:12" hidden="1" x14ac:dyDescent="0.2">
      <c r="A130" s="278" t="s">
        <v>724</v>
      </c>
      <c r="D130" s="278" t="s">
        <v>423</v>
      </c>
    </row>
    <row r="131" spans="1:12" hidden="1" x14ac:dyDescent="0.2">
      <c r="I131" s="278" t="s">
        <v>145</v>
      </c>
      <c r="J131" s="279"/>
      <c r="K131" s="279"/>
      <c r="L131" s="279"/>
    </row>
    <row r="132" spans="1:12" hidden="1" x14ac:dyDescent="0.2">
      <c r="I132" s="278" t="s">
        <v>606</v>
      </c>
      <c r="J132" s="279"/>
      <c r="K132" s="279"/>
      <c r="L132" s="279"/>
    </row>
    <row r="133" spans="1:12" hidden="1" x14ac:dyDescent="0.2">
      <c r="A133" s="278" t="s">
        <v>721</v>
      </c>
      <c r="C133" s="278" t="s">
        <v>619</v>
      </c>
      <c r="D133" s="278" t="s">
        <v>427</v>
      </c>
      <c r="I133" s="278" t="s">
        <v>421</v>
      </c>
      <c r="J133" s="279"/>
      <c r="K133" s="279"/>
      <c r="L133" s="279"/>
    </row>
    <row r="134" spans="1:12" hidden="1" x14ac:dyDescent="0.2">
      <c r="D134" s="278" t="s">
        <v>424</v>
      </c>
      <c r="I134" s="278" t="s">
        <v>729</v>
      </c>
    </row>
    <row r="135" spans="1:12" hidden="1" x14ac:dyDescent="0.2">
      <c r="D135" s="278" t="s">
        <v>429</v>
      </c>
    </row>
    <row r="136" spans="1:12" hidden="1" x14ac:dyDescent="0.2"/>
    <row r="137" spans="1:12" hidden="1" x14ac:dyDescent="0.2">
      <c r="C137" s="278" t="s">
        <v>262</v>
      </c>
      <c r="D137" s="278" t="s">
        <v>428</v>
      </c>
    </row>
    <row r="138" spans="1:12" hidden="1" x14ac:dyDescent="0.2">
      <c r="D138" s="278" t="s">
        <v>430</v>
      </c>
    </row>
    <row r="139" spans="1:12" hidden="1" x14ac:dyDescent="0.2"/>
    <row r="140" spans="1:12" hidden="1" x14ac:dyDescent="0.2">
      <c r="A140" s="301" t="s">
        <v>720</v>
      </c>
      <c r="B140" s="301"/>
      <c r="C140" s="278" t="s">
        <v>618</v>
      </c>
      <c r="D140" s="278" t="s">
        <v>719</v>
      </c>
    </row>
    <row r="141" spans="1:12" hidden="1" x14ac:dyDescent="0.2">
      <c r="A141" s="301"/>
      <c r="B141" s="301"/>
      <c r="D141" s="278" t="s">
        <v>598</v>
      </c>
    </row>
    <row r="142" spans="1:12" hidden="1" x14ac:dyDescent="0.2"/>
    <row r="143" spans="1:12" hidden="1" x14ac:dyDescent="0.2">
      <c r="A143" s="785" t="s">
        <v>722</v>
      </c>
      <c r="B143" s="785"/>
      <c r="C143" s="278" t="s">
        <v>618</v>
      </c>
      <c r="D143" s="278" t="s">
        <v>422</v>
      </c>
    </row>
    <row r="144" spans="1:12" hidden="1" x14ac:dyDescent="0.2">
      <c r="A144" s="301" t="s">
        <v>727</v>
      </c>
      <c r="D144" s="278" t="s">
        <v>423</v>
      </c>
    </row>
    <row r="145" spans="1:4" ht="15" hidden="1" customHeight="1" x14ac:dyDescent="0.2">
      <c r="D145" s="278" t="s">
        <v>431</v>
      </c>
    </row>
    <row r="146" spans="1:4" hidden="1" x14ac:dyDescent="0.2"/>
    <row r="147" spans="1:4" hidden="1" x14ac:dyDescent="0.2">
      <c r="A147" s="302" t="s">
        <v>715</v>
      </c>
      <c r="C147" s="278" t="s">
        <v>713</v>
      </c>
      <c r="D147" s="278" t="s">
        <v>427</v>
      </c>
    </row>
    <row r="148" spans="1:4" hidden="1" x14ac:dyDescent="0.2">
      <c r="D148" s="278" t="s">
        <v>424</v>
      </c>
    </row>
    <row r="149" spans="1:4" hidden="1" x14ac:dyDescent="0.2">
      <c r="D149" s="278" t="s">
        <v>714</v>
      </c>
    </row>
    <row r="150" spans="1:4" hidden="1" x14ac:dyDescent="0.2"/>
    <row r="151" spans="1:4" hidden="1" x14ac:dyDescent="0.2">
      <c r="A151" s="785" t="s">
        <v>717</v>
      </c>
      <c r="B151" s="785"/>
      <c r="C151" s="278" t="s">
        <v>619</v>
      </c>
      <c r="D151" s="278" t="s">
        <v>427</v>
      </c>
    </row>
    <row r="152" spans="1:4" hidden="1" x14ac:dyDescent="0.2">
      <c r="D152" s="278" t="s">
        <v>424</v>
      </c>
    </row>
    <row r="153" spans="1:4" hidden="1" x14ac:dyDescent="0.2">
      <c r="D153" s="278" t="s">
        <v>716</v>
      </c>
    </row>
    <row r="154" spans="1:4" hidden="1" x14ac:dyDescent="0.2"/>
    <row r="155" spans="1:4" hidden="1" x14ac:dyDescent="0.2">
      <c r="A155" s="301">
        <v>21</v>
      </c>
      <c r="C155" s="278" t="s">
        <v>619</v>
      </c>
      <c r="D155" s="278" t="s">
        <v>427</v>
      </c>
    </row>
    <row r="156" spans="1:4" hidden="1" x14ac:dyDescent="0.2">
      <c r="D156" s="278" t="s">
        <v>424</v>
      </c>
    </row>
    <row r="157" spans="1:4" hidden="1" x14ac:dyDescent="0.2">
      <c r="D157" s="278" t="s">
        <v>723</v>
      </c>
    </row>
  </sheetData>
  <mergeCells count="8">
    <mergeCell ref="A151:B151"/>
    <mergeCell ref="A122:B122"/>
    <mergeCell ref="A127:B127"/>
    <mergeCell ref="B16:B17"/>
    <mergeCell ref="A118:B119"/>
    <mergeCell ref="A129:B129"/>
    <mergeCell ref="A126:B126"/>
    <mergeCell ref="A143:B143"/>
  </mergeCells>
  <phoneticPr fontId="34" type="noConversion"/>
  <conditionalFormatting sqref="D25:L26">
    <cfRule type="containsBlanks" dxfId="105" priority="2">
      <formula>LEN(TRIM(D25))=0</formula>
    </cfRule>
  </conditionalFormatting>
  <conditionalFormatting sqref="D28:L30">
    <cfRule type="containsBlanks" dxfId="104" priority="1">
      <formula>LEN(TRIM(D28))=0</formula>
    </cfRule>
  </conditionalFormatting>
  <dataValidations count="1">
    <dataValidation operator="greaterThanOrEqual" allowBlank="1" showInputMessage="1" showErrorMessage="1" errorTitle="Error" error="Eingabe nur von Zahlen möglich. " sqref="C23:L33"/>
  </dataValidations>
  <pageMargins left="0.7" right="0.7" top="0.78740157499999996" bottom="0.78740157499999996" header="0.3" footer="0.3"/>
  <pageSetup paperSize="9" orientation="portrait" horizontalDpi="200" verticalDpi="200" r:id="rId1"/>
  <ignoredErrors>
    <ignoredError sqref="C79 C81:C82 C75:C76 C72:C73 C69:C70 C66:C67 C50:C65 C68 C71 C74 C77:C7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39"/>
  <sheetViews>
    <sheetView workbookViewId="0">
      <selection activeCell="B1" sqref="B1"/>
    </sheetView>
  </sheetViews>
  <sheetFormatPr baseColWidth="10" defaultColWidth="11.42578125" defaultRowHeight="12.75" x14ac:dyDescent="0.25"/>
  <cols>
    <col min="1" max="1" width="23.42578125" style="77" customWidth="1"/>
    <col min="2" max="4" width="20.7109375" style="77" customWidth="1"/>
    <col min="5" max="5" width="9.7109375" style="77" customWidth="1"/>
    <col min="6" max="6" width="32.140625" style="77" customWidth="1"/>
    <col min="7" max="7" width="31" style="77" customWidth="1"/>
    <col min="8" max="8" width="10.7109375" style="106" customWidth="1"/>
    <col min="9" max="9" width="23" style="77" customWidth="1"/>
    <col min="10" max="11" width="23.85546875" style="77" customWidth="1"/>
    <col min="12" max="256" width="9.140625" style="77" customWidth="1"/>
    <col min="257" max="16384" width="11.42578125" style="77"/>
  </cols>
  <sheetData>
    <row r="1" spans="1:11" x14ac:dyDescent="0.25">
      <c r="A1" s="79" t="s">
        <v>382</v>
      </c>
      <c r="B1" s="73">
        <v>217</v>
      </c>
    </row>
    <row r="2" spans="1:11" x14ac:dyDescent="0.25">
      <c r="A2" s="79" t="s">
        <v>304</v>
      </c>
      <c r="B2" s="73" t="str">
        <f>IF(Basisdaten!C6=0,"",Basisdaten!C6)</f>
        <v/>
      </c>
      <c r="K2" s="101"/>
    </row>
    <row r="3" spans="1:11" x14ac:dyDescent="0.25">
      <c r="A3" s="79" t="s">
        <v>439</v>
      </c>
      <c r="B3" s="103" t="str">
        <f>IF(Basisdaten!K12=0,"",Basisdaten!K12)</f>
        <v/>
      </c>
    </row>
    <row r="5" spans="1:11" x14ac:dyDescent="0.25">
      <c r="A5" s="104" t="s">
        <v>24</v>
      </c>
      <c r="B5" s="73"/>
    </row>
    <row r="6" spans="1:11" x14ac:dyDescent="0.25">
      <c r="A6" s="104" t="s">
        <v>25</v>
      </c>
      <c r="B6" s="73"/>
    </row>
    <row r="7" spans="1:11" x14ac:dyDescent="0.25">
      <c r="A7" s="104" t="s">
        <v>26</v>
      </c>
      <c r="B7" s="73"/>
    </row>
    <row r="8" spans="1:11" x14ac:dyDescent="0.25">
      <c r="A8" s="104" t="s">
        <v>27</v>
      </c>
      <c r="B8" s="73"/>
    </row>
    <row r="9" spans="1:11" x14ac:dyDescent="0.25">
      <c r="A9" s="104" t="s">
        <v>28</v>
      </c>
      <c r="B9" s="73"/>
    </row>
    <row r="11" spans="1:11" x14ac:dyDescent="0.25">
      <c r="A11" s="105" t="s">
        <v>381</v>
      </c>
      <c r="B11" s="105" t="s">
        <v>380</v>
      </c>
      <c r="C11" s="105" t="s">
        <v>254</v>
      </c>
      <c r="D11" s="105" t="s">
        <v>303</v>
      </c>
      <c r="E11" s="105" t="s">
        <v>379</v>
      </c>
      <c r="F11" s="105" t="s">
        <v>383</v>
      </c>
      <c r="G11" s="105" t="s">
        <v>377</v>
      </c>
      <c r="H11" s="105" t="s">
        <v>378</v>
      </c>
      <c r="I11" s="126" t="s">
        <v>29</v>
      </c>
      <c r="J11" s="126" t="s">
        <v>30</v>
      </c>
      <c r="K11" s="126" t="s">
        <v>31</v>
      </c>
    </row>
    <row r="12" spans="1:11" x14ac:dyDescent="0.25">
      <c r="A12" s="76">
        <v>1</v>
      </c>
      <c r="B12" s="102" t="str">
        <f>IF('Kennzahlenbogen_(KB)'!O9 = "", "", 'Kennzahlenbogen_(KB)'!O9)</f>
        <v/>
      </c>
      <c r="C12" s="102">
        <f>IF('Kennzahlenbogen_(KB)'!O10="","",'Kennzahlenbogen_(KB)'!O10)</f>
        <v>0</v>
      </c>
      <c r="D12" s="152" t="str">
        <f>IF('Kennzahlenbogen_(KB)'!O11="n.d.","n.d.",'Kennzahlenbogen_(KB)'!O11*100)</f>
        <v>n.d.</v>
      </c>
      <c r="E12" s="102">
        <f>Berechnung1!N41</f>
        <v>1</v>
      </c>
      <c r="F12" s="73" t="str">
        <f>IF('Kennzahlenbogen_(KB)'!Q9=0,"",'Kennzahlenbogen_(KB)'!Q9)</f>
        <v/>
      </c>
      <c r="G12" s="73" t="str">
        <f>IF('Kennzahlenbogen_(KB)'!R9=0,"",'Kennzahlenbogen_(KB)'!R9)</f>
        <v/>
      </c>
      <c r="H12" s="102">
        <f>Berechnung1!O41</f>
        <v>0</v>
      </c>
      <c r="I12" s="73"/>
      <c r="J12" s="73"/>
      <c r="K12" s="73"/>
    </row>
    <row r="13" spans="1:11" x14ac:dyDescent="0.25">
      <c r="A13" s="76">
        <v>2</v>
      </c>
      <c r="B13" s="102" t="str">
        <f>IF('Kennzahlenbogen_(KB)'!O12 = "", "",'Kennzahlenbogen_(KB)'!O12)</f>
        <v/>
      </c>
      <c r="C13" s="102">
        <f>IF('Kennzahlenbogen_(KB)'!O13="","",'Kennzahlenbogen_(KB)'!O13)</f>
        <v>0</v>
      </c>
      <c r="D13" s="152" t="str">
        <f>IF('Kennzahlenbogen_(KB)'!O14="n.d.","n.d.",'Kennzahlenbogen_(KB)'!O14*100)</f>
        <v>n.d.</v>
      </c>
      <c r="E13" s="102">
        <f>Berechnung1!N44</f>
        <v>1</v>
      </c>
      <c r="F13" s="73" t="str">
        <f>IF('Kennzahlenbogen_(KB)'!Q12=0,"",'Kennzahlenbogen_(KB)'!Q12)</f>
        <v/>
      </c>
      <c r="G13" s="73" t="str">
        <f>IF('Kennzahlenbogen_(KB)'!R12=0,"",'Kennzahlenbogen_(KB)'!R12)</f>
        <v/>
      </c>
      <c r="H13" s="102">
        <f>Berechnung1!O44</f>
        <v>0</v>
      </c>
      <c r="I13" s="73"/>
      <c r="J13" s="73"/>
      <c r="K13" s="73"/>
    </row>
    <row r="14" spans="1:11" x14ac:dyDescent="0.25">
      <c r="A14" s="76">
        <v>3</v>
      </c>
      <c r="B14" s="102" t="str">
        <f>IF('Kennzahlenbogen_(KB)'!O15 = "", "",'Kennzahlenbogen_(KB)'!O15)</f>
        <v/>
      </c>
      <c r="C14" s="102" t="str">
        <f>IF('Kennzahlenbogen_(KB)'!O16="","",'Kennzahlenbogen_(KB)'!O16)</f>
        <v/>
      </c>
      <c r="D14" s="238" t="str">
        <f>IF('Kennzahlenbogen_(KB)'!O17="n.d.","n.d.",IF('Kennzahlenbogen_(KB)'!O17="","n.d.",'Kennzahlenbogen_(KB)'!O17*100))</f>
        <v>n.d.</v>
      </c>
      <c r="E14" s="102">
        <f>Berechnung1!N47</f>
        <v>1</v>
      </c>
      <c r="F14" s="73" t="str">
        <f>IF('Kennzahlenbogen_(KB)'!Q15=0,"",'Kennzahlenbogen_(KB)'!Q15)</f>
        <v/>
      </c>
      <c r="G14" s="73" t="str">
        <f>IF('Kennzahlenbogen_(KB)'!R15=0,"",'Kennzahlenbogen_(KB)'!R15)</f>
        <v/>
      </c>
      <c r="H14" s="102">
        <f>Berechnung1!O47</f>
        <v>0</v>
      </c>
      <c r="I14" s="73"/>
      <c r="J14" s="73"/>
      <c r="K14" s="73"/>
    </row>
    <row r="15" spans="1:11" x14ac:dyDescent="0.25">
      <c r="A15" s="76">
        <v>4</v>
      </c>
      <c r="B15" s="102" t="str">
        <f>IF('Kennzahlenbogen_(KB)'!O18 = "", "",'Kennzahlenbogen_(KB)'!O18)</f>
        <v/>
      </c>
      <c r="C15" s="102">
        <f>IF('Kennzahlenbogen_(KB)'!O19="","",'Kennzahlenbogen_(KB)'!O19)</f>
        <v>0</v>
      </c>
      <c r="D15" s="152" t="str">
        <f>IF('Kennzahlenbogen_(KB)'!O20="n.d.","n.d.",'Kennzahlenbogen_(KB)'!O20*100)</f>
        <v>n.d.</v>
      </c>
      <c r="E15" s="102">
        <f>Berechnung1!N50</f>
        <v>1</v>
      </c>
      <c r="F15" s="73" t="str">
        <f>IF('Kennzahlenbogen_(KB)'!Q18=0,"",'Kennzahlenbogen_(KB)'!Q18)</f>
        <v/>
      </c>
      <c r="G15" s="73" t="str">
        <f>IF('Kennzahlenbogen_(KB)'!R18=0,"",'Kennzahlenbogen_(KB)'!R18)</f>
        <v/>
      </c>
      <c r="H15" s="102">
        <f>Berechnung1!O50</f>
        <v>0</v>
      </c>
      <c r="I15" s="73"/>
      <c r="J15" s="73"/>
      <c r="K15" s="97"/>
    </row>
    <row r="16" spans="1:11" x14ac:dyDescent="0.25">
      <c r="A16" s="76">
        <v>5</v>
      </c>
      <c r="B16" s="102" t="str">
        <f>IF('Kennzahlenbogen_(KB)'!O21 = "", "",'Kennzahlenbogen_(KB)'!O21)</f>
        <v/>
      </c>
      <c r="C16" s="102" t="str">
        <f>IF('Kennzahlenbogen_(KB)'!O22="","",'Kennzahlenbogen_(KB)'!O22)</f>
        <v/>
      </c>
      <c r="D16" s="238" t="str">
        <f>IF('Kennzahlenbogen_(KB)'!O23="n.d.","n.d.",IF('Kennzahlenbogen_(KB)'!O23="","n.d.",'Kennzahlenbogen_(KB)'!O23*100))</f>
        <v>n.d.</v>
      </c>
      <c r="E16" s="102">
        <f>Berechnung1!N53</f>
        <v>1</v>
      </c>
      <c r="F16" s="73" t="str">
        <f>IF('Kennzahlenbogen_(KB)'!Q21=0,"",'Kennzahlenbogen_(KB)'!Q21)</f>
        <v/>
      </c>
      <c r="G16" s="73" t="str">
        <f>IF('Kennzahlenbogen_(KB)'!R21=0,"",'Kennzahlenbogen_(KB)'!R21)</f>
        <v/>
      </c>
      <c r="H16" s="102">
        <f>Berechnung1!O53</f>
        <v>0</v>
      </c>
      <c r="I16" s="73"/>
      <c r="J16" s="73"/>
      <c r="K16" s="97"/>
    </row>
    <row r="17" spans="1:11" x14ac:dyDescent="0.25">
      <c r="A17" s="76">
        <v>6</v>
      </c>
      <c r="B17" s="102" t="str">
        <f>IF('Kennzahlenbogen_(KB)'!O24 = "", "", 'Kennzahlenbogen_(KB)'!O24)</f>
        <v/>
      </c>
      <c r="C17" s="102" t="str">
        <f>IF('Kennzahlenbogen_(KB)'!O25="","",'Kennzahlenbogen_(KB)'!O25)</f>
        <v/>
      </c>
      <c r="D17" s="152" t="str">
        <f>IF('Kennzahlenbogen_(KB)'!O26="n.d.","n.d.",'Kennzahlenbogen_(KB)'!O26*100)</f>
        <v>n.d.</v>
      </c>
      <c r="E17" s="102">
        <f>Berechnung1!N56</f>
        <v>1</v>
      </c>
      <c r="F17" s="73" t="str">
        <f>IF('Kennzahlenbogen_(KB)'!Q24=0,"",'Kennzahlenbogen_(KB)'!Q24)</f>
        <v/>
      </c>
      <c r="G17" s="73" t="str">
        <f>IF('Kennzahlenbogen_(KB)'!R24=0,"",'Kennzahlenbogen_(KB)'!R24)</f>
        <v/>
      </c>
      <c r="H17" s="102">
        <f>Berechnung1!O56</f>
        <v>0</v>
      </c>
      <c r="I17" s="73"/>
      <c r="J17" s="73"/>
      <c r="K17" s="73"/>
    </row>
    <row r="18" spans="1:11" x14ac:dyDescent="0.25">
      <c r="A18" s="76">
        <v>7</v>
      </c>
      <c r="B18" s="102" t="str">
        <f>IF('Kennzahlenbogen_(KB)'!O27 = "", "", 'Kennzahlenbogen_(KB)'!O27)</f>
        <v/>
      </c>
      <c r="C18" s="102" t="str">
        <f>IF('Kennzahlenbogen_(KB)'!O28="","",'Kennzahlenbogen_(KB)'!O28)</f>
        <v/>
      </c>
      <c r="D18" s="152" t="str">
        <f>IF('Kennzahlenbogen_(KB)'!O29="n.d.","n.d.",'Kennzahlenbogen_(KB)'!O29*100)</f>
        <v>n.d.</v>
      </c>
      <c r="E18" s="102">
        <f>Berechnung1!N59</f>
        <v>1</v>
      </c>
      <c r="F18" s="73" t="str">
        <f>IF('Kennzahlenbogen_(KB)'!Q27=0,"",'Kennzahlenbogen_(KB)'!Q27)</f>
        <v/>
      </c>
      <c r="G18" s="73" t="str">
        <f>IF('Kennzahlenbogen_(KB)'!R27=0,"",'Kennzahlenbogen_(KB)'!R27)</f>
        <v/>
      </c>
      <c r="H18" s="102">
        <f>Berechnung1!O59</f>
        <v>0</v>
      </c>
      <c r="I18" s="73"/>
      <c r="J18" s="73"/>
      <c r="K18" s="73"/>
    </row>
    <row r="19" spans="1:11" x14ac:dyDescent="0.25">
      <c r="A19" s="76">
        <v>8</v>
      </c>
      <c r="B19" s="102" t="str">
        <f>IF('Kennzahlenbogen_(KB)'!O30 = "", "", 'Kennzahlenbogen_(KB)'!O30)</f>
        <v/>
      </c>
      <c r="C19" s="102" t="str">
        <f>IF('Kennzahlenbogen_(KB)'!O31="","",'Kennzahlenbogen_(KB)'!O31)</f>
        <v/>
      </c>
      <c r="D19" s="238" t="str">
        <f>IF('Kennzahlenbogen_(KB)'!O32="n.d.","n.d.",IF('Kennzahlenbogen_(KB)'!O32="","n.d.",'Kennzahlenbogen_(KB)'!O32*100))</f>
        <v>n.d.</v>
      </c>
      <c r="E19" s="102">
        <f>Berechnung1!N62</f>
        <v>1</v>
      </c>
      <c r="F19" s="73" t="str">
        <f>IF('Kennzahlenbogen_(KB)'!Q30=0,"",'Kennzahlenbogen_(KB)'!Q30)</f>
        <v/>
      </c>
      <c r="G19" s="73" t="str">
        <f>IF('Kennzahlenbogen_(KB)'!R30=0,"",'Kennzahlenbogen_(KB)'!R30)</f>
        <v/>
      </c>
      <c r="H19" s="102">
        <f>Berechnung1!O62</f>
        <v>0</v>
      </c>
      <c r="I19" s="73"/>
      <c r="J19" s="73"/>
      <c r="K19" s="73"/>
    </row>
    <row r="20" spans="1:11" x14ac:dyDescent="0.25">
      <c r="A20" s="76">
        <v>9</v>
      </c>
      <c r="B20" s="102" t="str">
        <f>IF('Kennzahlenbogen_(KB)'!O33 = "", "", 'Kennzahlenbogen_(KB)'!O33)</f>
        <v/>
      </c>
      <c r="C20" s="102" t="str">
        <f>IF('Kennzahlenbogen_(KB)'!O34="","",'Kennzahlenbogen_(KB)'!O34)</f>
        <v/>
      </c>
      <c r="D20" s="238" t="str">
        <f>IF('Kennzahlenbogen_(KB)'!O35="n.d.","n.d.",IF('Kennzahlenbogen_(KB)'!O35="","n.d.",'Kennzahlenbogen_(KB)'!O35*100))</f>
        <v>n.d.</v>
      </c>
      <c r="E20" s="102">
        <f>Berechnung1!N65</f>
        <v>1</v>
      </c>
      <c r="F20" s="73" t="str">
        <f>IF('Kennzahlenbogen_(KB)'!Q33=0,"",'Kennzahlenbogen_(KB)'!Q33)</f>
        <v/>
      </c>
      <c r="G20" s="73" t="str">
        <f>IF('Kennzahlenbogen_(KB)'!R33=0,"",'Kennzahlenbogen_(KB)'!R33)</f>
        <v/>
      </c>
      <c r="H20" s="102">
        <f>Berechnung1!O65</f>
        <v>0</v>
      </c>
      <c r="I20" s="73"/>
      <c r="J20" s="73"/>
      <c r="K20" s="73"/>
    </row>
    <row r="21" spans="1:11" x14ac:dyDescent="0.25">
      <c r="A21" s="76">
        <v>10</v>
      </c>
      <c r="B21" s="102" t="str">
        <f>IF('Kennzahlenbogen_(KB)'!O36 = "", "", 'Kennzahlenbogen_(KB)'!O36)</f>
        <v/>
      </c>
      <c r="C21" s="102">
        <f>IF('Kennzahlenbogen_(KB)'!O37="","",'Kennzahlenbogen_(KB)'!O37)</f>
        <v>0</v>
      </c>
      <c r="D21" s="152" t="str">
        <f>IF('Kennzahlenbogen_(KB)'!O38="n.d.","n.d.",'Kennzahlenbogen_(KB)'!O38*100)</f>
        <v>n.d.</v>
      </c>
      <c r="E21" s="102">
        <f>Berechnung1!N68</f>
        <v>1</v>
      </c>
      <c r="F21" s="73" t="str">
        <f>IF('Kennzahlenbogen_(KB)'!Q36=0,"",'Kennzahlenbogen_(KB)'!Q36)</f>
        <v/>
      </c>
      <c r="G21" s="73" t="str">
        <f>IF('Kennzahlenbogen_(KB)'!R36=0,"",'Kennzahlenbogen_(KB)'!R36)</f>
        <v/>
      </c>
      <c r="H21" s="102">
        <f>Berechnung1!O68</f>
        <v>0</v>
      </c>
      <c r="I21" s="73"/>
      <c r="J21" s="73"/>
      <c r="K21" s="73"/>
    </row>
    <row r="22" spans="1:11" x14ac:dyDescent="0.25">
      <c r="A22" s="76">
        <v>11</v>
      </c>
      <c r="B22" s="102" t="str">
        <f>IF('Kennzahlenbogen_(KB)'!O39 = "", "", 'Kennzahlenbogen_(KB)'!O39)</f>
        <v/>
      </c>
      <c r="C22" s="102">
        <f>IF('Kennzahlenbogen_(KB)'!O40="","",'Kennzahlenbogen_(KB)'!O40)</f>
        <v>0</v>
      </c>
      <c r="D22" s="152" t="str">
        <f>IF('Kennzahlenbogen_(KB)'!O41="n.d.","n.d.",'Kennzahlenbogen_(KB)'!O41*100)</f>
        <v>n.d.</v>
      </c>
      <c r="E22" s="102">
        <f>Berechnung1!N71</f>
        <v>1</v>
      </c>
      <c r="F22" s="73" t="str">
        <f>IF('Kennzahlenbogen_(KB)'!Q39=0,"",'Kennzahlenbogen_(KB)'!Q39)</f>
        <v/>
      </c>
      <c r="G22" s="73" t="str">
        <f>IF('Kennzahlenbogen_(KB)'!R39=0,"",'Kennzahlenbogen_(KB)'!R39)</f>
        <v/>
      </c>
      <c r="H22" s="102">
        <f>Berechnung1!O71</f>
        <v>0</v>
      </c>
      <c r="I22" s="73"/>
      <c r="J22" s="73"/>
      <c r="K22" s="73"/>
    </row>
    <row r="23" spans="1:11" x14ac:dyDescent="0.25">
      <c r="A23" s="76">
        <v>12</v>
      </c>
      <c r="B23" s="102">
        <f>IF('Kennzahlenbogen_(KB)'!O42 = "", "", 'Kennzahlenbogen_(KB)'!O42)</f>
        <v>0</v>
      </c>
      <c r="C23" s="102">
        <f>IF('Kennzahlenbogen_(KB)'!O43="","",'Kennzahlenbogen_(KB)'!O43)</f>
        <v>0</v>
      </c>
      <c r="D23" s="152" t="str">
        <f>IF('Kennzahlenbogen_(KB)'!O44="n.d.","n.d.",'Kennzahlenbogen_(KB)'!O44*100)</f>
        <v>n.d.</v>
      </c>
      <c r="E23" s="102">
        <f>Berechnung1!N74</f>
        <v>1</v>
      </c>
      <c r="F23" s="73" t="str">
        <f>IF('Kennzahlenbogen_(KB)'!Q42=0,"",'Kennzahlenbogen_(KB)'!Q42)</f>
        <v/>
      </c>
      <c r="G23" s="73" t="str">
        <f>IF('Kennzahlenbogen_(KB)'!R42=0,"",'Kennzahlenbogen_(KB)'!R42)</f>
        <v/>
      </c>
      <c r="H23" s="102">
        <f>Berechnung1!O74</f>
        <v>0</v>
      </c>
      <c r="I23" s="73"/>
      <c r="J23" s="73"/>
      <c r="K23" s="73"/>
    </row>
    <row r="24" spans="1:11" x14ac:dyDescent="0.25">
      <c r="A24" s="76">
        <v>13</v>
      </c>
      <c r="B24" s="102" t="str">
        <f>IF('Kennzahlenbogen_(KB)'!O45 = "", "", 'Kennzahlenbogen_(KB)'!O45)</f>
        <v/>
      </c>
      <c r="C24" s="102">
        <f>IF('Kennzahlenbogen_(KB)'!O46="","",'Kennzahlenbogen_(KB)'!O46)</f>
        <v>0</v>
      </c>
      <c r="D24" s="152" t="str">
        <f>IF('Kennzahlenbogen_(KB)'!O47="n.d.","n.d.",'Kennzahlenbogen_(KB)'!O47*100)</f>
        <v>n.d.</v>
      </c>
      <c r="E24" s="102">
        <f>Berechnung1!N77</f>
        <v>1</v>
      </c>
      <c r="F24" s="73" t="str">
        <f>IF('Kennzahlenbogen_(KB)'!Q45=0,"",'Kennzahlenbogen_(KB)'!Q45)</f>
        <v/>
      </c>
      <c r="G24" s="73" t="str">
        <f>IF('Kennzahlenbogen_(KB)'!R45=0,"",'Kennzahlenbogen_(KB)'!R45)</f>
        <v/>
      </c>
      <c r="H24" s="102">
        <f>Berechnung1!O77</f>
        <v>0</v>
      </c>
      <c r="I24" s="73"/>
      <c r="J24" s="73"/>
      <c r="K24" s="73"/>
    </row>
    <row r="25" spans="1:11" x14ac:dyDescent="0.25">
      <c r="A25" s="339" t="s">
        <v>996</v>
      </c>
      <c r="B25" s="102" t="str">
        <f>IF('Kennzahlenbogen_(KB)'!O48 = 0, "n.d.", 'Kennzahlenbogen_(KB)'!O48)</f>
        <v>n.d.</v>
      </c>
      <c r="C25" s="99"/>
      <c r="D25" s="153"/>
      <c r="E25" s="102">
        <f>Berechnung1!N80</f>
        <v>1</v>
      </c>
      <c r="F25" s="73" t="str">
        <f>IF('Kennzahlenbogen_(KB)'!Q48=0,"",'Kennzahlenbogen_(KB)'!Q48)</f>
        <v/>
      </c>
      <c r="G25" s="73" t="str">
        <f>IF('Kennzahlenbogen_(KB)'!R48=0,"",'Kennzahlenbogen_(KB)'!R48)</f>
        <v/>
      </c>
      <c r="H25" s="102">
        <f>Berechnung1!O80</f>
        <v>0</v>
      </c>
      <c r="I25" s="73"/>
      <c r="J25" s="73"/>
      <c r="K25" s="73"/>
    </row>
    <row r="26" spans="1:11" x14ac:dyDescent="0.25">
      <c r="A26" s="339" t="s">
        <v>997</v>
      </c>
      <c r="B26" s="441">
        <f>IF('Kennzahlenbogen_(KB)'!O51 = 0, 0, 'Kennzahlenbogen_(KB)'!O51)</f>
        <v>0</v>
      </c>
      <c r="C26" s="99"/>
      <c r="D26" s="153"/>
      <c r="E26" s="102">
        <f>Berechnung1!N83</f>
        <v>1</v>
      </c>
      <c r="F26" s="73" t="str">
        <f>IF('Kennzahlenbogen_(KB)'!Q51=0,"",'Kennzahlenbogen_(KB)'!Q51)</f>
        <v/>
      </c>
      <c r="G26" s="73" t="str">
        <f>IF('Kennzahlenbogen_(KB)'!R51=0,"",'Kennzahlenbogen_(KB)'!R51)</f>
        <v/>
      </c>
      <c r="H26" s="102">
        <f>Berechnung1!O83</f>
        <v>0</v>
      </c>
      <c r="I26" s="73"/>
      <c r="J26" s="73"/>
      <c r="K26" s="73"/>
    </row>
    <row r="27" spans="1:11" x14ac:dyDescent="0.25">
      <c r="A27" s="76">
        <v>15</v>
      </c>
      <c r="B27" s="102" t="str">
        <f>IF('Kennzahlenbogen_(KB)'!O54= "", "", 'Kennzahlenbogen_(KB)'!O54)</f>
        <v/>
      </c>
      <c r="C27" s="102" t="str">
        <f>IF('Kennzahlenbogen_(KB)'!O55="","",'Kennzahlenbogen_(KB)'!O55)</f>
        <v/>
      </c>
      <c r="D27" s="152" t="str">
        <f>IF('Kennzahlenbogen_(KB)'!O56="n.d.","n.d.",'Kennzahlenbogen_(KB)'!O56*100)</f>
        <v>n.d.</v>
      </c>
      <c r="E27" s="102">
        <f>Berechnung1!N86</f>
        <v>1</v>
      </c>
      <c r="F27" s="73" t="str">
        <f>IF('Kennzahlenbogen_(KB)'!Q54=0,"",'Kennzahlenbogen_(KB)'!Q54)</f>
        <v/>
      </c>
      <c r="G27" s="73" t="str">
        <f>IF('Kennzahlenbogen_(KB)'!R54=0,"",'Kennzahlenbogen_(KB)'!R54)</f>
        <v/>
      </c>
      <c r="H27" s="102">
        <f>Berechnung1!O86</f>
        <v>0</v>
      </c>
      <c r="I27" s="73"/>
      <c r="J27" s="73"/>
      <c r="K27" s="73"/>
    </row>
    <row r="28" spans="1:11" x14ac:dyDescent="0.25">
      <c r="A28" s="76">
        <v>16</v>
      </c>
      <c r="B28" s="102" t="str">
        <f>IF('Kennzahlenbogen_(KB)'!O57 = "", "", 'Kennzahlenbogen_(KB)'!O57)</f>
        <v/>
      </c>
      <c r="C28" s="102" t="str">
        <f>IF('Kennzahlenbogen_(KB)'!O58="","",'Kennzahlenbogen_(KB)'!O58)</f>
        <v/>
      </c>
      <c r="D28" s="152" t="str">
        <f>IF('Kennzahlenbogen_(KB)'!O59="n.d.","n.d.",'Kennzahlenbogen_(KB)'!O59*100)</f>
        <v>n.d.</v>
      </c>
      <c r="E28" s="102">
        <f>Berechnung1!N89</f>
        <v>1</v>
      </c>
      <c r="F28" s="73" t="str">
        <f>IF('Kennzahlenbogen_(KB)'!Q57=0,"",'Kennzahlenbogen_(KB)'!Q57)</f>
        <v/>
      </c>
      <c r="G28" s="73" t="str">
        <f>IF('Kennzahlenbogen_(KB)'!R57=0,"",'Kennzahlenbogen_(KB)'!R57)</f>
        <v/>
      </c>
      <c r="H28" s="102">
        <f>Berechnung1!O89</f>
        <v>0</v>
      </c>
      <c r="I28" s="73"/>
      <c r="J28" s="73"/>
      <c r="K28" s="73"/>
    </row>
    <row r="29" spans="1:11" x14ac:dyDescent="0.25">
      <c r="A29" s="76">
        <v>17</v>
      </c>
      <c r="B29" s="102">
        <f>IF('Kennzahlenbogen_(KB)'!O60 = "", "", 'Kennzahlenbogen_(KB)'!O60)</f>
        <v>0</v>
      </c>
      <c r="C29" s="102">
        <f>IF('Kennzahlenbogen_(KB)'!O61="","",'Kennzahlenbogen_(KB)'!O61)</f>
        <v>0</v>
      </c>
      <c r="D29" s="152" t="str">
        <f>IF('Kennzahlenbogen_(KB)'!O62="n.d.","n.d.",'Kennzahlenbogen_(KB)'!O62*100)</f>
        <v>n.d.</v>
      </c>
      <c r="E29" s="102">
        <f>Berechnung1!N92</f>
        <v>1</v>
      </c>
      <c r="F29" s="73" t="str">
        <f>IF('Kennzahlenbogen_(KB)'!Q60=0,"",'Kennzahlenbogen_(KB)'!Q60)</f>
        <v/>
      </c>
      <c r="G29" s="73" t="str">
        <f>IF('Kennzahlenbogen_(KB)'!R60=0,"",'Kennzahlenbogen_(KB)'!R60)</f>
        <v/>
      </c>
      <c r="H29" s="102">
        <f>Berechnung1!O92</f>
        <v>0</v>
      </c>
      <c r="I29" s="73"/>
      <c r="J29" s="73"/>
      <c r="K29" s="73"/>
    </row>
    <row r="30" spans="1:11" x14ac:dyDescent="0.25">
      <c r="A30" s="76">
        <v>18</v>
      </c>
      <c r="B30" s="102" t="str">
        <f>IF('Kennzahlenbogen_(KB)'!O63 = "", "", 'Kennzahlenbogen_(KB)'!O63)</f>
        <v/>
      </c>
      <c r="C30" s="102" t="str">
        <f>IF('Kennzahlenbogen_(KB)'!O64="","",'Kennzahlenbogen_(KB)'!O64)</f>
        <v/>
      </c>
      <c r="D30" s="238" t="str">
        <f>IF('Kennzahlenbogen_(KB)'!O65="n.d.","n.d.",IF('Kennzahlenbogen_(KB)'!O65="","n.d.",'Kennzahlenbogen_(KB)'!O65*100))</f>
        <v>n.d.</v>
      </c>
      <c r="E30" s="102">
        <f>Berechnung1!N95</f>
        <v>1</v>
      </c>
      <c r="F30" s="73" t="str">
        <f>IF('Kennzahlenbogen_(KB)'!Q63=0,"",'Kennzahlenbogen_(KB)'!Q63)</f>
        <v/>
      </c>
      <c r="G30" s="73" t="str">
        <f>IF('Kennzahlenbogen_(KB)'!R63=0,"",'Kennzahlenbogen_(KB)'!R63)</f>
        <v/>
      </c>
      <c r="H30" s="102">
        <f>Berechnung1!O95</f>
        <v>0</v>
      </c>
      <c r="I30" s="73"/>
      <c r="J30" s="73"/>
      <c r="K30" s="73"/>
    </row>
    <row r="31" spans="1:11" x14ac:dyDescent="0.25">
      <c r="A31" s="76">
        <v>19</v>
      </c>
      <c r="B31" s="102" t="str">
        <f>IF('Kennzahlenbogen_(KB)'!O66 = "", "", 'Kennzahlenbogen_(KB)'!O66)</f>
        <v/>
      </c>
      <c r="C31" s="102" t="str">
        <f>IF('Kennzahlenbogen_(KB)'!O67="","",'Kennzahlenbogen_(KB)'!O67)</f>
        <v/>
      </c>
      <c r="D31" s="152" t="str">
        <f>IF('Kennzahlenbogen_(KB)'!O68="n.d.","n.d.",'Kennzahlenbogen_(KB)'!O68*100)</f>
        <v>n.d.</v>
      </c>
      <c r="E31" s="102">
        <f>Berechnung1!N98</f>
        <v>1</v>
      </c>
      <c r="F31" s="73" t="str">
        <f>IF('Kennzahlenbogen_(KB)'!Q66=0,"",'Kennzahlenbogen_(KB)'!Q66)</f>
        <v/>
      </c>
      <c r="G31" s="73" t="str">
        <f>IF('Kennzahlenbogen_(KB)'!R66=0,"",'Kennzahlenbogen_(KB)'!R66)</f>
        <v/>
      </c>
      <c r="H31" s="102">
        <f>Berechnung1!O98</f>
        <v>0</v>
      </c>
      <c r="I31" s="73"/>
      <c r="J31" s="73"/>
      <c r="K31" s="73"/>
    </row>
    <row r="32" spans="1:11" x14ac:dyDescent="0.25">
      <c r="A32" s="339" t="s">
        <v>886</v>
      </c>
      <c r="B32" s="102" t="str">
        <f>IF('Kennzahlenbogen_(KB)'!O69 = "", "", 'Kennzahlenbogen_(KB)'!O69)</f>
        <v/>
      </c>
      <c r="C32" s="102" t="str">
        <f>IF('Kennzahlenbogen_(KB)'!O70="","",'Kennzahlenbogen_(KB)'!O70)</f>
        <v/>
      </c>
      <c r="D32" s="238" t="str">
        <f>IF('Kennzahlenbogen_(KB)'!O71="n.d.","n.d.",IF('Kennzahlenbogen_(KB)'!O71="","n.d.",'Kennzahlenbogen_(KB)'!O71*100))</f>
        <v>n.d.</v>
      </c>
      <c r="E32" s="102">
        <f>Berechnung1!N101</f>
        <v>1</v>
      </c>
      <c r="F32" s="73" t="str">
        <f>IF('Kennzahlenbogen_(KB)'!Q69=0,"",'Kennzahlenbogen_(KB)'!Q69)</f>
        <v/>
      </c>
      <c r="G32" s="73" t="str">
        <f>IF('Kennzahlenbogen_(KB)'!R69=0,"",'Kennzahlenbogen_(KB)'!R69)</f>
        <v/>
      </c>
      <c r="H32" s="102">
        <f>Berechnung1!O101</f>
        <v>0</v>
      </c>
      <c r="I32" s="73"/>
      <c r="J32" s="73"/>
      <c r="K32" s="73"/>
    </row>
    <row r="33" spans="1:11" x14ac:dyDescent="0.25">
      <c r="A33" s="339" t="s">
        <v>889</v>
      </c>
      <c r="B33" s="102" t="str">
        <f>IF('Kennzahlenbogen_(KB)'!O72 = "", "", 'Kennzahlenbogen_(KB)'!O72)</f>
        <v/>
      </c>
      <c r="C33" s="102" t="str">
        <f>IF('Kennzahlenbogen_(KB)'!O73="","",'Kennzahlenbogen_(KB)'!O73)</f>
        <v/>
      </c>
      <c r="D33" s="238" t="str">
        <f>IF('Kennzahlenbogen_(KB)'!O74="n.d.","n.d.",IF('Kennzahlenbogen_(KB)'!O74="","n.d.",'Kennzahlenbogen_(KB)'!O74*100))</f>
        <v>n.d.</v>
      </c>
      <c r="E33" s="102">
        <f>Berechnung1!N104</f>
        <v>1</v>
      </c>
      <c r="F33" s="73" t="str">
        <f>IF('Kennzahlenbogen_(KB)'!Q72=0,"",'Kennzahlenbogen_(KB)'!Q72)</f>
        <v/>
      </c>
      <c r="G33" s="73" t="str">
        <f>IF('Kennzahlenbogen_(KB)'!R72=0,"",'Kennzahlenbogen_(KB)'!R72)</f>
        <v/>
      </c>
      <c r="H33" s="102">
        <f>Berechnung1!O104</f>
        <v>0</v>
      </c>
      <c r="I33" s="73"/>
      <c r="J33" s="73"/>
      <c r="K33" s="73"/>
    </row>
    <row r="34" spans="1:11" x14ac:dyDescent="0.25">
      <c r="A34" s="76">
        <v>21</v>
      </c>
      <c r="B34" s="102" t="str">
        <f>IF('Kennzahlenbogen_(KB)'!O75 = "", "", 'Kennzahlenbogen_(KB)'!O75)</f>
        <v/>
      </c>
      <c r="C34" s="102" t="str">
        <f>IF('Kennzahlenbogen_(KB)'!O76="","",'Kennzahlenbogen_(KB)'!O76)</f>
        <v/>
      </c>
      <c r="D34" s="152" t="str">
        <f>IF('Kennzahlenbogen_(KB)'!O77="n.d.","n.d.",'Kennzahlenbogen_(KB)'!O77*100)</f>
        <v>n.d.</v>
      </c>
      <c r="E34" s="102">
        <f>Berechnung1!N107</f>
        <v>1</v>
      </c>
      <c r="F34" s="73" t="str">
        <f>IF('Kennzahlenbogen_(KB)'!Q75=0,"",'Kennzahlenbogen_(KB)'!Q75)</f>
        <v/>
      </c>
      <c r="G34" s="73" t="str">
        <f>IF('Kennzahlenbogen_(KB)'!R75=0,"",'Kennzahlenbogen_(KB)'!R75)</f>
        <v/>
      </c>
      <c r="H34" s="102">
        <f>Berechnung1!O107</f>
        <v>0</v>
      </c>
      <c r="I34" s="73"/>
      <c r="J34" s="73"/>
      <c r="K34" s="73"/>
    </row>
    <row r="35" spans="1:11" x14ac:dyDescent="0.25">
      <c r="A35" s="76">
        <v>22</v>
      </c>
      <c r="B35" s="102" t="str">
        <f>IF('Kennzahlenbogen_(KB)'!O78 = "", "", 'Kennzahlenbogen_(KB)'!O78)</f>
        <v/>
      </c>
      <c r="C35" s="102">
        <f>IF('Kennzahlenbogen_(KB)'!O79="","",'Kennzahlenbogen_(KB)'!O79)</f>
        <v>0</v>
      </c>
      <c r="D35" s="152" t="str">
        <f>IF('Kennzahlenbogen_(KB)'!O80="n.d.","n.d.",'Kennzahlenbogen_(KB)'!O80*100)</f>
        <v>n.d.</v>
      </c>
      <c r="E35" s="102">
        <f>Berechnung1!N110</f>
        <v>1</v>
      </c>
      <c r="F35" s="73" t="str">
        <f>IF('Kennzahlenbogen_(KB)'!Q78=0,"",'Kennzahlenbogen_(KB)'!Q78)</f>
        <v/>
      </c>
      <c r="G35" s="73" t="str">
        <f>IF('Kennzahlenbogen_(KB)'!R78=0,"",'Kennzahlenbogen_(KB)'!R78)</f>
        <v/>
      </c>
      <c r="H35" s="102">
        <f>Berechnung1!O110</f>
        <v>0</v>
      </c>
      <c r="I35" s="73"/>
      <c r="J35" s="73"/>
      <c r="K35" s="73"/>
    </row>
    <row r="36" spans="1:11" x14ac:dyDescent="0.25">
      <c r="A36" s="76">
        <v>23</v>
      </c>
      <c r="B36" s="102" t="str">
        <f>IF('Kennzahlenbogen_(KB)'!O81 = "", "", 'Kennzahlenbogen_(KB)'!O81)</f>
        <v/>
      </c>
      <c r="C36" s="102" t="str">
        <f>IF('Kennzahlenbogen_(KB)'!O82="","",'Kennzahlenbogen_(KB)'!O82)</f>
        <v/>
      </c>
      <c r="D36" s="238" t="str">
        <f>IF('Kennzahlenbogen_(KB)'!O83="n.d.","n.d.",IF('Kennzahlenbogen_(KB)'!O83="","n.d.",'Kennzahlenbogen_(KB)'!O83*100))</f>
        <v>n.d.</v>
      </c>
      <c r="E36" s="102">
        <f>Berechnung1!N113</f>
        <v>1</v>
      </c>
      <c r="F36" s="73" t="str">
        <f>IF('Kennzahlenbogen_(KB)'!Q81=0,"",'Kennzahlenbogen_(KB)'!Q81)</f>
        <v/>
      </c>
      <c r="G36" s="73" t="str">
        <f>IF('Kennzahlenbogen_(KB)'!R81=0,"",'Kennzahlenbogen_(KB)'!R81)</f>
        <v/>
      </c>
      <c r="H36" s="102">
        <f>Berechnung1!O113</f>
        <v>0</v>
      </c>
      <c r="I36" s="78"/>
      <c r="J36" s="78"/>
      <c r="K36" s="78"/>
    </row>
    <row r="37" spans="1:11" x14ac:dyDescent="0.25">
      <c r="D37" s="389"/>
    </row>
    <row r="38" spans="1:11" x14ac:dyDescent="0.25">
      <c r="H38" s="98"/>
    </row>
    <row r="39" spans="1:11" x14ac:dyDescent="0.25">
      <c r="H39" s="98"/>
    </row>
  </sheetData>
  <phoneticPr fontId="34"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Q38"/>
  <sheetViews>
    <sheetView showGridLines="0" showRuler="0" showWhiteSpace="0" topLeftCell="A2" zoomScaleNormal="100" zoomScaleSheetLayoutView="100" workbookViewId="0">
      <selection activeCell="Q14" sqref="Q14"/>
    </sheetView>
  </sheetViews>
  <sheetFormatPr baseColWidth="10" defaultColWidth="11.5703125" defaultRowHeight="15" x14ac:dyDescent="0.25"/>
  <cols>
    <col min="1" max="1" width="3.7109375" style="264" customWidth="1"/>
    <col min="2" max="2" width="19" style="276" customWidth="1"/>
    <col min="3" max="3" width="6.5703125" style="264" customWidth="1"/>
    <col min="4" max="4" width="8.85546875" style="264" customWidth="1"/>
    <col min="5" max="5" width="6.42578125" style="264" customWidth="1"/>
    <col min="6" max="7" width="6.28515625" style="264" customWidth="1"/>
    <col min="8" max="8" width="6.85546875" style="264" customWidth="1"/>
    <col min="9" max="9" width="10" style="264" customWidth="1"/>
    <col min="10" max="10" width="29.85546875" style="264" customWidth="1"/>
    <col min="11" max="11" width="31" style="264" customWidth="1"/>
    <col min="12" max="12" width="1" style="264" customWidth="1"/>
    <col min="13" max="13" width="14.5703125" style="264" hidden="1" customWidth="1"/>
    <col min="14" max="16384" width="11.5703125" style="264"/>
  </cols>
  <sheetData>
    <row r="1" spans="1:17" s="252" customFormat="1" ht="21.75" hidden="1" customHeight="1" x14ac:dyDescent="0.2">
      <c r="B1" s="253" t="str">
        <f ca="1">IF(M11=TRUE,"A1:L15",CONCATENATE("A1:L",MATCH(0,A:A,-1)))</f>
        <v>A1:L38</v>
      </c>
    </row>
    <row r="2" spans="1:17" s="252" customFormat="1" ht="13.5" customHeight="1" x14ac:dyDescent="0.2">
      <c r="A2" s="19" t="s">
        <v>1228</v>
      </c>
      <c r="B2" s="254"/>
    </row>
    <row r="3" spans="1:17" s="252" customFormat="1" ht="16.5" x14ac:dyDescent="0.25">
      <c r="A3" s="255" t="s">
        <v>639</v>
      </c>
      <c r="B3" s="254"/>
    </row>
    <row r="4" spans="1:17" s="252" customFormat="1" ht="14.25" x14ac:dyDescent="0.2">
      <c r="B4" s="254"/>
    </row>
    <row r="5" spans="1:17" s="252" customFormat="1" ht="15" customHeight="1" x14ac:dyDescent="0.2">
      <c r="B5" s="254"/>
      <c r="C5" s="256"/>
      <c r="D5" s="256"/>
      <c r="E5" s="256"/>
      <c r="F5" s="256"/>
      <c r="G5" s="256"/>
      <c r="H5" s="256"/>
      <c r="I5" s="256"/>
      <c r="J5" s="256"/>
    </row>
    <row r="6" spans="1:17" s="257" customFormat="1" ht="15" customHeight="1" x14ac:dyDescent="0.2">
      <c r="B6" s="258" t="s">
        <v>504</v>
      </c>
      <c r="C6" s="789" t="str">
        <f>IF(Basisdaten!C8=0,"",Basisdaten!C8)</f>
        <v/>
      </c>
      <c r="D6" s="790"/>
      <c r="E6" s="790"/>
      <c r="F6" s="790"/>
      <c r="G6" s="790"/>
      <c r="H6" s="790"/>
      <c r="I6" s="790"/>
      <c r="J6" s="791"/>
    </row>
    <row r="7" spans="1:17" s="257" customFormat="1" ht="6.95" customHeight="1" x14ac:dyDescent="0.2">
      <c r="B7" s="259"/>
      <c r="C7" s="256"/>
      <c r="D7" s="256"/>
      <c r="E7" s="256"/>
      <c r="F7" s="256"/>
      <c r="G7" s="256"/>
      <c r="H7" s="256"/>
      <c r="I7" s="256"/>
      <c r="J7" s="256"/>
    </row>
    <row r="8" spans="1:17" s="257" customFormat="1" ht="15" customHeight="1" x14ac:dyDescent="0.2">
      <c r="B8" s="258" t="s">
        <v>442</v>
      </c>
      <c r="C8" s="789" t="str">
        <f>IF(Basisdaten!C6=0,"",Basisdaten!C6)</f>
        <v/>
      </c>
      <c r="D8" s="790"/>
      <c r="E8" s="790"/>
      <c r="F8" s="791"/>
      <c r="H8" s="260" t="s">
        <v>590</v>
      </c>
      <c r="J8" s="261" t="str">
        <f>IF(Basisdaten!K12=0,"",Basisdaten!K12)</f>
        <v/>
      </c>
    </row>
    <row r="9" spans="1:17" s="252" customFormat="1" ht="14.25" x14ac:dyDescent="0.2">
      <c r="B9" s="254"/>
    </row>
    <row r="10" spans="1:17" s="252" customFormat="1" x14ac:dyDescent="0.2">
      <c r="B10" s="396" t="str">
        <f ca="1">IF(M11=TRUE,"Kein Datendefizit vorhanden","")</f>
        <v/>
      </c>
      <c r="M10" s="262" t="s">
        <v>45</v>
      </c>
    </row>
    <row r="11" spans="1:17" s="252" customFormat="1" x14ac:dyDescent="0.2">
      <c r="B11" s="263" t="str">
        <f ca="1">IF($M$11=TRUE,"","Übertragung erfolgt automatisch aus Kennzahlenbogen (Ist-Werte, Begründungen und Aktionen)")</f>
        <v>Übertragung erfolgt automatisch aus Kennzahlenbogen (Ist-Werte, Begründungen und Aktionen)</v>
      </c>
      <c r="M11" s="262" t="b">
        <f t="array" aca="1" ref="M11" ca="1">$A$14:$K$38=""</f>
        <v>0</v>
      </c>
    </row>
    <row r="12" spans="1:17" ht="15" customHeight="1" x14ac:dyDescent="0.25">
      <c r="A12" s="792" t="str">
        <f ca="1">IF($M$11=TRUE,"","Nr.")</f>
        <v>Nr.</v>
      </c>
      <c r="B12" s="794" t="str">
        <f ca="1">IF($M$11=TRUE,"","Kennzahlendefinition")</f>
        <v>Kennzahlendefinition</v>
      </c>
      <c r="C12" s="792" t="str">
        <f ca="1">IF($M$11=TRUE,"","Vorgaben Datenqualität")</f>
        <v>Vorgaben Datenqualität</v>
      </c>
      <c r="D12" s="796"/>
      <c r="E12" s="796"/>
      <c r="F12" s="792" t="str">
        <f ca="1">IF($M$11=TRUE,"","Ist-Werte")</f>
        <v>Ist-Werte</v>
      </c>
      <c r="G12" s="796"/>
      <c r="H12" s="796"/>
      <c r="I12" s="792" t="str">
        <f ca="1">IF($M$11=TRUE,"","Daten-qualität")</f>
        <v>Daten-qualität</v>
      </c>
      <c r="J12" s="797" t="str">
        <f ca="1">IF($M$11=TRUE,"","Verifizierung Zentrum")</f>
        <v>Verifizierung Zentrum</v>
      </c>
      <c r="K12" s="798"/>
      <c r="N12"/>
    </row>
    <row r="13" spans="1:17" ht="22.5" customHeight="1" x14ac:dyDescent="0.25">
      <c r="A13" s="793"/>
      <c r="B13" s="795"/>
      <c r="C13" s="265" t="str">
        <f ca="1">IF($M$11=TRUE,"","Plausi unklar")</f>
        <v>Plausi unklar</v>
      </c>
      <c r="D13" s="265" t="str">
        <f ca="1">IF($M$11=TRUE,"","Sollvorgabe")</f>
        <v>Sollvorgabe</v>
      </c>
      <c r="E13" s="265" t="str">
        <f ca="1">IF($M$11=TRUE,"","Plausi unklar")</f>
        <v>Plausi unklar</v>
      </c>
      <c r="F13" s="265" t="str">
        <f ca="1">IF($M$11=TRUE,"","Zähler / Anzahl")</f>
        <v>Zähler / Anzahl</v>
      </c>
      <c r="G13" s="265" t="str">
        <f ca="1">IF($M$11=TRUE,"","Nenner")</f>
        <v>Nenner</v>
      </c>
      <c r="H13" s="265" t="str">
        <f ca="1">IF($M$11=TRUE,"","Quote")</f>
        <v>Quote</v>
      </c>
      <c r="I13" s="793"/>
      <c r="J13" s="266" t="str">
        <f ca="1">IF($M$11=TRUE,"","Begründung / Ursache")</f>
        <v>Begründung / Ursache</v>
      </c>
      <c r="K13" s="267" t="str">
        <f ca="1">IF($M$11=TRUE,"","Eingeleitete / geplante Aktionen")</f>
        <v>Eingeleitete / geplante Aktionen</v>
      </c>
    </row>
    <row r="14" spans="1:17" ht="170.1" customHeight="1" x14ac:dyDescent="0.25">
      <c r="A14" s="268">
        <f ca="1">'Hilfstabelle DatendefKB'!O2</f>
        <v>1</v>
      </c>
      <c r="B14" s="269" t="str">
        <f ca="1">'Hilfstabelle DatendefKB'!P2</f>
        <v>Postoperative Fallbesprechung</v>
      </c>
      <c r="C14" s="270" t="str">
        <f ca="1">'Hilfstabelle DatendefKB'!Q2</f>
        <v>-----</v>
      </c>
      <c r="D14" s="270" t="str">
        <f ca="1">'Hilfstabelle DatendefKB'!R2</f>
        <v>≥ 95%</v>
      </c>
      <c r="E14" s="270" t="str">
        <f ca="1">'Hilfstabelle DatendefKB'!S2</f>
        <v>-----</v>
      </c>
      <c r="F14" s="268" t="str">
        <f ca="1">'Hilfstabelle DatendefKB'!T2</f>
        <v>-----</v>
      </c>
      <c r="G14" s="268">
        <f ca="1">'Hilfstabelle DatendefKB'!U2</f>
        <v>0</v>
      </c>
      <c r="H14" s="271" t="str">
        <f ca="1">'Hilfstabelle DatendefKB'!V2</f>
        <v>n.d.</v>
      </c>
      <c r="I14" s="268" t="str">
        <f ca="1">'Hilfstabelle DatendefKB'!W2</f>
        <v>Unvollständig</v>
      </c>
      <c r="J14" s="272" t="str">
        <f ca="1">'Hilfstabelle DatendefKB'!X2</f>
        <v>-----</v>
      </c>
      <c r="K14" s="269" t="str">
        <f ca="1">'Hilfstabelle DatendefKB'!Y2</f>
        <v>-----</v>
      </c>
      <c r="P14" s="273"/>
      <c r="Q14" s="273"/>
    </row>
    <row r="15" spans="1:17" ht="170.1" customHeight="1" x14ac:dyDescent="0.25">
      <c r="A15" s="268">
        <f ca="1">'Hilfstabelle DatendefKB'!O3</f>
        <v>2</v>
      </c>
      <c r="B15" s="269" t="str">
        <f ca="1">'Hilfstabelle DatendefKB'!P3</f>
        <v>Prätherapeutische Fallbesprechung</v>
      </c>
      <c r="C15" s="270" t="str">
        <f ca="1">'Hilfstabelle DatendefKB'!Q3</f>
        <v>-----</v>
      </c>
      <c r="D15" s="270" t="str">
        <f ca="1">'Hilfstabelle DatendefKB'!R3</f>
        <v>≥ 40%</v>
      </c>
      <c r="E15" s="270" t="str">
        <f ca="1">'Hilfstabelle DatendefKB'!S3</f>
        <v>-----</v>
      </c>
      <c r="F15" s="268" t="str">
        <f ca="1">'Hilfstabelle DatendefKB'!T3</f>
        <v>-----</v>
      </c>
      <c r="G15" s="268">
        <f ca="1">'Hilfstabelle DatendefKB'!U3</f>
        <v>0</v>
      </c>
      <c r="H15" s="271" t="str">
        <f ca="1">'Hilfstabelle DatendefKB'!V3</f>
        <v>n.d.</v>
      </c>
      <c r="I15" s="268" t="str">
        <f ca="1">'Hilfstabelle DatendefKB'!W3</f>
        <v>Unvollständig</v>
      </c>
      <c r="J15" s="272" t="str">
        <f ca="1">'Hilfstabelle DatendefKB'!X3</f>
        <v>-----</v>
      </c>
      <c r="K15" s="269" t="str">
        <f ca="1">'Hilfstabelle DatendefKB'!Y3</f>
        <v>-----</v>
      </c>
    </row>
    <row r="16" spans="1:17" ht="170.1" customHeight="1" x14ac:dyDescent="0.25">
      <c r="A16" s="268">
        <f ca="1">'Hilfstabelle DatendefKB'!O4</f>
        <v>3</v>
      </c>
      <c r="B16" s="269" t="str">
        <f ca="1">'Hilfstabelle DatendefKB'!P4</f>
        <v>Fallbesprechung bei Lokalrezidiv/ Metastasen</v>
      </c>
      <c r="C16" s="270" t="str">
        <f ca="1">'Hilfstabelle DatendefKB'!Q4</f>
        <v>&lt; 70%</v>
      </c>
      <c r="D16" s="270" t="str">
        <f ca="1">'Hilfstabelle DatendefKB'!R4</f>
        <v>Derzeit keine Vorgaben</v>
      </c>
      <c r="E16" s="270" t="str">
        <f ca="1">'Hilfstabelle DatendefKB'!S4</f>
        <v>-----</v>
      </c>
      <c r="F16" s="268" t="str">
        <f ca="1">'Hilfstabelle DatendefKB'!T4</f>
        <v>-----</v>
      </c>
      <c r="G16" s="268" t="str">
        <f ca="1">'Hilfstabelle DatendefKB'!U4</f>
        <v>-----</v>
      </c>
      <c r="H16" s="271" t="str">
        <f ca="1">'Hilfstabelle DatendefKB'!V4</f>
        <v>n.d.</v>
      </c>
      <c r="I16" s="268" t="str">
        <f ca="1">'Hilfstabelle DatendefKB'!W4</f>
        <v>Unvollständig</v>
      </c>
      <c r="J16" s="272" t="str">
        <f ca="1">'Hilfstabelle DatendefKB'!X4</f>
        <v>-----</v>
      </c>
      <c r="K16" s="269" t="str">
        <f ca="1">'Hilfstabelle DatendefKB'!Y4</f>
        <v>-----</v>
      </c>
    </row>
    <row r="17" spans="1:12" ht="170.1" customHeight="1" x14ac:dyDescent="0.25">
      <c r="A17" s="268" t="str">
        <f ca="1">'Hilfstabelle DatendefKB'!O5</f>
        <v>4</v>
      </c>
      <c r="B17" s="269" t="str">
        <f ca="1">'Hilfstabelle DatendefKB'!P5</f>
        <v xml:space="preserve">Strahlentherapie nach BET bei inv. Mammakarzinom
</v>
      </c>
      <c r="C17" s="270" t="str">
        <f ca="1">'Hilfstabelle DatendefKB'!Q5</f>
        <v>-----</v>
      </c>
      <c r="D17" s="270" t="str">
        <f ca="1">'Hilfstabelle DatendefKB'!R5</f>
        <v>≥ 90%</v>
      </c>
      <c r="E17" s="270" t="str">
        <f ca="1">'Hilfstabelle DatendefKB'!S5</f>
        <v>-----</v>
      </c>
      <c r="F17" s="268" t="str">
        <f ca="1">'Hilfstabelle DatendefKB'!T5</f>
        <v>-----</v>
      </c>
      <c r="G17" s="268">
        <f ca="1">'Hilfstabelle DatendefKB'!U5</f>
        <v>0</v>
      </c>
      <c r="H17" s="271" t="str">
        <f ca="1">'Hilfstabelle DatendefKB'!V5</f>
        <v>n.d.</v>
      </c>
      <c r="I17" s="268" t="str">
        <f ca="1">'Hilfstabelle DatendefKB'!W5</f>
        <v>Unvollständig</v>
      </c>
      <c r="J17" s="272" t="str">
        <f ca="1">'Hilfstabelle DatendefKB'!X5</f>
        <v>-----</v>
      </c>
      <c r="K17" s="269" t="str">
        <f ca="1">'Hilfstabelle DatendefKB'!Y5</f>
        <v>-----</v>
      </c>
    </row>
    <row r="18" spans="1:12" s="275" customFormat="1" ht="170.1" customHeight="1" x14ac:dyDescent="0.25">
      <c r="A18" s="268" t="str">
        <f ca="1">'Hilfstabelle DatendefKB'!O6</f>
        <v>5</v>
      </c>
      <c r="B18" s="269" t="str">
        <f ca="1">'Hilfstabelle DatendefKB'!P6</f>
        <v xml:space="preserve">Strahlentherapie nach BET bei DCIS
</v>
      </c>
      <c r="C18" s="270" t="str">
        <f ca="1">'Hilfstabelle DatendefKB'!Q6</f>
        <v>&lt; 80%</v>
      </c>
      <c r="D18" s="270" t="str">
        <f ca="1">'Hilfstabelle DatendefKB'!R6</f>
        <v xml:space="preserve">
Derzeit keine Vorgaben</v>
      </c>
      <c r="E18" s="270" t="str">
        <f ca="1">'Hilfstabelle DatendefKB'!S6</f>
        <v>-----</v>
      </c>
      <c r="F18" s="268" t="str">
        <f ca="1">'Hilfstabelle DatendefKB'!T6</f>
        <v>-----</v>
      </c>
      <c r="G18" s="268" t="str">
        <f ca="1">'Hilfstabelle DatendefKB'!U6</f>
        <v>-----</v>
      </c>
      <c r="H18" s="271" t="str">
        <f ca="1">'Hilfstabelle DatendefKB'!V6</f>
        <v>n.d.</v>
      </c>
      <c r="I18" s="268" t="str">
        <f ca="1">'Hilfstabelle DatendefKB'!W6</f>
        <v>Unvollständig</v>
      </c>
      <c r="J18" s="272" t="str">
        <f ca="1">'Hilfstabelle DatendefKB'!X6</f>
        <v>-----</v>
      </c>
      <c r="K18" s="269" t="str">
        <f ca="1">'Hilfstabelle DatendefKB'!Y6</f>
        <v>-----</v>
      </c>
      <c r="L18" s="274"/>
    </row>
    <row r="19" spans="1:12" ht="170.1" customHeight="1" x14ac:dyDescent="0.25">
      <c r="A19" s="268">
        <f ca="1">'Hilfstabelle DatendefKB'!O7</f>
        <v>6</v>
      </c>
      <c r="B19" s="269" t="str">
        <f ca="1">'Hilfstabelle DatendefKB'!P7</f>
        <v xml:space="preserve">Chemotherapie bei rez. pos. und nodalpos. Befund1  </v>
      </c>
      <c r="C19" s="270" t="str">
        <f ca="1">'Hilfstabelle DatendefKB'!Q7</f>
        <v>&lt; 60%</v>
      </c>
      <c r="D19" s="270" t="str">
        <f ca="1">'Hilfstabelle DatendefKB'!R7</f>
        <v>Derzeit keine Vorgaben</v>
      </c>
      <c r="E19" s="270" t="str">
        <f ca="1">'Hilfstabelle DatendefKB'!S7</f>
        <v>-----</v>
      </c>
      <c r="F19" s="268" t="str">
        <f ca="1">'Hilfstabelle DatendefKB'!T7</f>
        <v>-----</v>
      </c>
      <c r="G19" s="268" t="str">
        <f ca="1">'Hilfstabelle DatendefKB'!U7</f>
        <v>-----</v>
      </c>
      <c r="H19" s="271" t="str">
        <f ca="1">'Hilfstabelle DatendefKB'!V7</f>
        <v>n.d.</v>
      </c>
      <c r="I19" s="268" t="str">
        <f ca="1">'Hilfstabelle DatendefKB'!W7</f>
        <v>Unvollständig</v>
      </c>
      <c r="J19" s="272" t="str">
        <f ca="1">'Hilfstabelle DatendefKB'!X7</f>
        <v>-----</v>
      </c>
      <c r="K19" s="269" t="str">
        <f ca="1">'Hilfstabelle DatendefKB'!Y7</f>
        <v>-----</v>
      </c>
    </row>
    <row r="20" spans="1:12" s="275" customFormat="1" ht="170.1" customHeight="1" x14ac:dyDescent="0.25">
      <c r="A20" s="268">
        <f ca="1">'Hilfstabelle DatendefKB'!O8</f>
        <v>7</v>
      </c>
      <c r="B20" s="269" t="str">
        <f ca="1">'Hilfstabelle DatendefKB'!P8</f>
        <v>Endokrine Therapie bei steroidrez. positivem Befund1</v>
      </c>
      <c r="C20" s="270" t="str">
        <f ca="1">'Hilfstabelle DatendefKB'!Q8</f>
        <v>-----</v>
      </c>
      <c r="D20" s="270" t="str">
        <f ca="1">'Hilfstabelle DatendefKB'!R8</f>
        <v>≥ 95%</v>
      </c>
      <c r="E20" s="270" t="str">
        <f ca="1">'Hilfstabelle DatendefKB'!S8</f>
        <v>-----</v>
      </c>
      <c r="F20" s="268" t="str">
        <f ca="1">'Hilfstabelle DatendefKB'!T8</f>
        <v>-----</v>
      </c>
      <c r="G20" s="268" t="str">
        <f ca="1">'Hilfstabelle DatendefKB'!U8</f>
        <v>-----</v>
      </c>
      <c r="H20" s="271" t="str">
        <f ca="1">'Hilfstabelle DatendefKB'!V8</f>
        <v>n.d.</v>
      </c>
      <c r="I20" s="268" t="str">
        <f ca="1">'Hilfstabelle DatendefKB'!W8</f>
        <v>Unvollständig</v>
      </c>
      <c r="J20" s="272" t="str">
        <f ca="1">'Hilfstabelle DatendefKB'!X8</f>
        <v>-----</v>
      </c>
      <c r="K20" s="269" t="str">
        <f ca="1">'Hilfstabelle DatendefKB'!Y8</f>
        <v>-----</v>
      </c>
      <c r="L20" s="274"/>
    </row>
    <row r="21" spans="1:12" ht="170.1" customHeight="1" x14ac:dyDescent="0.25">
      <c r="A21" s="268">
        <f ca="1">'Hilfstabelle DatendefKB'!O9</f>
        <v>8</v>
      </c>
      <c r="B21" s="269" t="str">
        <f ca="1">'Hilfstabelle DatendefKB'!P9</f>
        <v xml:space="preserve">Trastuzumabtherapie über 1 Jahr bei HER-2 pos. Befund </v>
      </c>
      <c r="C21" s="270" t="str">
        <f ca="1">'Hilfstabelle DatendefKB'!Q9</f>
        <v>-----</v>
      </c>
      <c r="D21" s="270" t="str">
        <f ca="1">'Hilfstabelle DatendefKB'!R9</f>
        <v>≥ 95%</v>
      </c>
      <c r="E21" s="270" t="str">
        <f ca="1">'Hilfstabelle DatendefKB'!S9</f>
        <v>-----</v>
      </c>
      <c r="F21" s="268" t="str">
        <f ca="1">'Hilfstabelle DatendefKB'!T9</f>
        <v>-----</v>
      </c>
      <c r="G21" s="268" t="str">
        <f ca="1">'Hilfstabelle DatendefKB'!U9</f>
        <v>-----</v>
      </c>
      <c r="H21" s="271" t="str">
        <f ca="1">'Hilfstabelle DatendefKB'!V9</f>
        <v>n.d.</v>
      </c>
      <c r="I21" s="268" t="str">
        <f ca="1">'Hilfstabelle DatendefKB'!W9</f>
        <v>Unvollständig</v>
      </c>
      <c r="J21" s="272" t="str">
        <f ca="1">'Hilfstabelle DatendefKB'!X9</f>
        <v>-----</v>
      </c>
      <c r="K21" s="269" t="str">
        <f ca="1">'Hilfstabelle DatendefKB'!Y9</f>
        <v>-----</v>
      </c>
    </row>
    <row r="22" spans="1:12" s="275" customFormat="1" ht="170.1" customHeight="1" x14ac:dyDescent="0.25">
      <c r="A22" s="268">
        <f ca="1">'Hilfstabelle DatendefKB'!O10</f>
        <v>9</v>
      </c>
      <c r="B22" s="269" t="str">
        <f ca="1">'Hilfstabelle DatendefKB'!P10</f>
        <v>Endokrine Therapie bei Metastasierung</v>
      </c>
      <c r="C22" s="270" t="str">
        <f ca="1">'Hilfstabelle DatendefKB'!Q10</f>
        <v>-----</v>
      </c>
      <c r="D22" s="270" t="str">
        <f ca="1">'Hilfstabelle DatendefKB'!R10</f>
        <v>≥ 95%</v>
      </c>
      <c r="E22" s="270" t="str">
        <f ca="1">'Hilfstabelle DatendefKB'!S10</f>
        <v>-----</v>
      </c>
      <c r="F22" s="268" t="str">
        <f ca="1">'Hilfstabelle DatendefKB'!T10</f>
        <v>-----</v>
      </c>
      <c r="G22" s="268" t="str">
        <f ca="1">'Hilfstabelle DatendefKB'!U10</f>
        <v>-----</v>
      </c>
      <c r="H22" s="271" t="str">
        <f ca="1">'Hilfstabelle DatendefKB'!V10</f>
        <v>n.d.</v>
      </c>
      <c r="I22" s="268" t="str">
        <f ca="1">'Hilfstabelle DatendefKB'!W10</f>
        <v>Unvollständig</v>
      </c>
      <c r="J22" s="272" t="str">
        <f ca="1">'Hilfstabelle DatendefKB'!X10</f>
        <v>-----</v>
      </c>
      <c r="K22" s="269" t="str">
        <f ca="1">'Hilfstabelle DatendefKB'!Y10</f>
        <v>-----</v>
      </c>
      <c r="L22" s="274"/>
    </row>
    <row r="23" spans="1:12" s="275" customFormat="1" ht="170.1" customHeight="1" x14ac:dyDescent="0.25">
      <c r="A23" s="268">
        <f ca="1">'Hilfstabelle DatendefKB'!O11</f>
        <v>10</v>
      </c>
      <c r="B23" s="269" t="str">
        <f ca="1">'Hilfstabelle DatendefKB'!P11</f>
        <v xml:space="preserve">Psychoonkologisches Distress-Screening </v>
      </c>
      <c r="C23" s="270" t="str">
        <f ca="1">'Hilfstabelle DatendefKB'!Q11</f>
        <v>-----</v>
      </c>
      <c r="D23" s="270" t="str">
        <f ca="1">'Hilfstabelle DatendefKB'!R11</f>
        <v>≥ 65%</v>
      </c>
      <c r="E23" s="270" t="str">
        <f ca="1">'Hilfstabelle DatendefKB'!S11</f>
        <v>-----</v>
      </c>
      <c r="F23" s="268" t="str">
        <f ca="1">'Hilfstabelle DatendefKB'!T11</f>
        <v>-----</v>
      </c>
      <c r="G23" s="268">
        <f ca="1">'Hilfstabelle DatendefKB'!U11</f>
        <v>0</v>
      </c>
      <c r="H23" s="271" t="str">
        <f ca="1">'Hilfstabelle DatendefKB'!V11</f>
        <v>n.d.</v>
      </c>
      <c r="I23" s="268" t="str">
        <f ca="1">'Hilfstabelle DatendefKB'!W11</f>
        <v>Unvollständig</v>
      </c>
      <c r="J23" s="272" t="str">
        <f ca="1">'Hilfstabelle DatendefKB'!X11</f>
        <v>-----</v>
      </c>
      <c r="K23" s="269" t="str">
        <f ca="1">'Hilfstabelle DatendefKB'!Y11</f>
        <v>-----</v>
      </c>
      <c r="L23" s="274"/>
    </row>
    <row r="24" spans="1:12" s="275" customFormat="1" ht="170.1" customHeight="1" x14ac:dyDescent="0.25">
      <c r="A24" s="268">
        <f ca="1">'Hilfstabelle DatendefKB'!O12</f>
        <v>11</v>
      </c>
      <c r="B24" s="269" t="str">
        <f ca="1">'Hilfstabelle DatendefKB'!P12</f>
        <v>Beratung Sozialdienst</v>
      </c>
      <c r="C24" s="270" t="str">
        <f ca="1">'Hilfstabelle DatendefKB'!Q12</f>
        <v>&lt; 50%</v>
      </c>
      <c r="D24" s="270" t="str">
        <f ca="1">'Hilfstabelle DatendefKB'!R12</f>
        <v>Derzeit keine Vorgaben</v>
      </c>
      <c r="E24" s="270" t="str">
        <f ca="1">'Hilfstabelle DatendefKB'!S12</f>
        <v>-----</v>
      </c>
      <c r="F24" s="268" t="str">
        <f ca="1">'Hilfstabelle DatendefKB'!T12</f>
        <v>-----</v>
      </c>
      <c r="G24" s="268">
        <f ca="1">'Hilfstabelle DatendefKB'!U12</f>
        <v>0</v>
      </c>
      <c r="H24" s="271" t="str">
        <f ca="1">'Hilfstabelle DatendefKB'!V12</f>
        <v>n.d.</v>
      </c>
      <c r="I24" s="268" t="str">
        <f ca="1">'Hilfstabelle DatendefKB'!W12</f>
        <v>Unvollständig</v>
      </c>
      <c r="J24" s="272" t="str">
        <f ca="1">'Hilfstabelle DatendefKB'!X12</f>
        <v>-----</v>
      </c>
      <c r="K24" s="269" t="str">
        <f ca="1">'Hilfstabelle DatendefKB'!Y12</f>
        <v>-----</v>
      </c>
      <c r="L24" s="274"/>
    </row>
    <row r="25" spans="1:12" ht="170.1" customHeight="1" x14ac:dyDescent="0.25">
      <c r="A25" s="268">
        <f ca="1">'Hilfstabelle DatendefKB'!O13</f>
        <v>12</v>
      </c>
      <c r="B25" s="269" t="str">
        <f ca="1">'Hilfstabelle DatendefKB'!P13</f>
        <v>Anteil
Studienpat.</v>
      </c>
      <c r="C25" s="270" t="str">
        <f ca="1">'Hilfstabelle DatendefKB'!Q13</f>
        <v>-----</v>
      </c>
      <c r="D25" s="270" t="str">
        <f ca="1">'Hilfstabelle DatendefKB'!R13</f>
        <v>≥ 5%</v>
      </c>
      <c r="E25" s="270" t="str">
        <f ca="1">'Hilfstabelle DatendefKB'!S13</f>
        <v>&gt; 65%</v>
      </c>
      <c r="F25" s="268">
        <f ca="1">'Hilfstabelle DatendefKB'!T13</f>
        <v>0</v>
      </c>
      <c r="G25" s="268">
        <f ca="1">'Hilfstabelle DatendefKB'!U13</f>
        <v>0</v>
      </c>
      <c r="H25" s="271" t="str">
        <f ca="1">'Hilfstabelle DatendefKB'!V13</f>
        <v>n.d.</v>
      </c>
      <c r="I25" s="268" t="str">
        <f ca="1">'Hilfstabelle DatendefKB'!W13</f>
        <v>Unvollständig</v>
      </c>
      <c r="J25" s="272" t="str">
        <f ca="1">'Hilfstabelle DatendefKB'!X13</f>
        <v>-----</v>
      </c>
      <c r="K25" s="269" t="str">
        <f ca="1">'Hilfstabelle DatendefKB'!Y13</f>
        <v>-----</v>
      </c>
    </row>
    <row r="26" spans="1:12" s="275" customFormat="1" ht="170.1" customHeight="1" x14ac:dyDescent="0.25">
      <c r="A26" s="268">
        <f ca="1">'Hilfstabelle DatendefKB'!O14</f>
        <v>13</v>
      </c>
      <c r="B26" s="269" t="str">
        <f ca="1">'Hilfstabelle DatendefKB'!P14</f>
        <v>Prätherapeutische histologische Sicherung</v>
      </c>
      <c r="C26" s="270" t="str">
        <f ca="1">'Hilfstabelle DatendefKB'!Q14</f>
        <v>-----</v>
      </c>
      <c r="D26" s="270" t="str">
        <f ca="1">'Hilfstabelle DatendefKB'!R14</f>
        <v>≥ 90%</v>
      </c>
      <c r="E26" s="270" t="str">
        <f ca="1">'Hilfstabelle DatendefKB'!S14</f>
        <v>-----</v>
      </c>
      <c r="F26" s="268" t="str">
        <f ca="1">'Hilfstabelle DatendefKB'!T14</f>
        <v>-----</v>
      </c>
      <c r="G26" s="268">
        <f ca="1">'Hilfstabelle DatendefKB'!U14</f>
        <v>0</v>
      </c>
      <c r="H26" s="271" t="str">
        <f ca="1">'Hilfstabelle DatendefKB'!V14</f>
        <v>n.d.</v>
      </c>
      <c r="I26" s="268" t="str">
        <f ca="1">'Hilfstabelle DatendefKB'!W14</f>
        <v>Unvollständig</v>
      </c>
      <c r="J26" s="272" t="str">
        <f ca="1">'Hilfstabelle DatendefKB'!X14</f>
        <v>-----</v>
      </c>
      <c r="K26" s="269" t="str">
        <f ca="1">'Hilfstabelle DatendefKB'!Y14</f>
        <v>-----</v>
      </c>
    </row>
    <row r="27" spans="1:12" ht="170.1" customHeight="1" x14ac:dyDescent="0.25">
      <c r="A27" s="268" t="str">
        <f ca="1">'Hilfstabelle DatendefKB'!O15</f>
        <v>14a</v>
      </c>
      <c r="B27" s="269" t="str">
        <f ca="1">'Hilfstabelle DatendefKB'!P15</f>
        <v>Primärfälle Mammakarzinom</v>
      </c>
      <c r="C27" s="270" t="str">
        <f ca="1">'Hilfstabelle DatendefKB'!Q15</f>
        <v>-----</v>
      </c>
      <c r="D27" s="270" t="str">
        <f ca="1">'Hilfstabelle DatendefKB'!R15</f>
        <v>≥ 100</v>
      </c>
      <c r="E27" s="270" t="str">
        <f ca="1">'Hilfstabelle DatendefKB'!S15</f>
        <v>-----</v>
      </c>
      <c r="F27" s="268">
        <f ca="1">'Hilfstabelle DatendefKB'!T15</f>
        <v>0</v>
      </c>
      <c r="G27" s="268" t="str">
        <f ca="1">'Hilfstabelle DatendefKB'!U15</f>
        <v>-----</v>
      </c>
      <c r="H27" s="271" t="str">
        <f ca="1">'Hilfstabelle DatendefKB'!V15</f>
        <v>-----</v>
      </c>
      <c r="I27" s="268" t="str">
        <f ca="1">'Hilfstabelle DatendefKB'!W15</f>
        <v>Unvollständig</v>
      </c>
      <c r="J27" s="272" t="str">
        <f ca="1">'Hilfstabelle DatendefKB'!X15</f>
        <v>-----</v>
      </c>
      <c r="K27" s="269" t="str">
        <f ca="1">'Hilfstabelle DatendefKB'!Y15</f>
        <v>-----</v>
      </c>
    </row>
    <row r="28" spans="1:12" s="275" customFormat="1" ht="170.1" customHeight="1" x14ac:dyDescent="0.25">
      <c r="A28" s="268" t="str">
        <f ca="1">'Hilfstabelle DatendefKB'!O16</f>
        <v>14b</v>
      </c>
      <c r="B28" s="269" t="str">
        <f ca="1">'Hilfstabelle DatendefKB'!P16</f>
        <v>Pat. mit neuaufgetretenem  (Lokal-) Rezidiv und/ oder Fernmetastasen (ohne primär M1 Pat.)</v>
      </c>
      <c r="C28" s="270" t="str">
        <f ca="1">'Hilfstabelle DatendefKB'!Q16</f>
        <v>-----</v>
      </c>
      <c r="D28" s="270" t="str">
        <f ca="1">'Hilfstabelle DatendefKB'!R16</f>
        <v>Derzeit keine Vorgaben</v>
      </c>
      <c r="E28" s="270" t="str">
        <f ca="1">'Hilfstabelle DatendefKB'!S16</f>
        <v>-----</v>
      </c>
      <c r="F28" s="268">
        <f ca="1">'Hilfstabelle DatendefKB'!T16</f>
        <v>0</v>
      </c>
      <c r="G28" s="268" t="str">
        <f ca="1">'Hilfstabelle DatendefKB'!U16</f>
        <v>-----</v>
      </c>
      <c r="H28" s="271" t="str">
        <f ca="1">'Hilfstabelle DatendefKB'!V16</f>
        <v>-----</v>
      </c>
      <c r="I28" s="268" t="str">
        <f ca="1">'Hilfstabelle DatendefKB'!W16</f>
        <v>Unvollständig</v>
      </c>
      <c r="J28" s="272" t="str">
        <f ca="1">'Hilfstabelle DatendefKB'!X16</f>
        <v>-----</v>
      </c>
      <c r="K28" s="269" t="str">
        <f ca="1">'Hilfstabelle DatendefKB'!Y16</f>
        <v>-----</v>
      </c>
    </row>
    <row r="29" spans="1:12" ht="170.1" customHeight="1" x14ac:dyDescent="0.25">
      <c r="A29" s="268">
        <f ca="1">'Hilfstabelle DatendefKB'!O17</f>
        <v>15</v>
      </c>
      <c r="B29" s="269" t="str">
        <f ca="1">'Hilfstabelle DatendefKB'!P17</f>
        <v>Anzahl operative Eingriffe für R0-Resektion bei BET</v>
      </c>
      <c r="C29" s="270" t="str">
        <f ca="1">'Hilfstabelle DatendefKB'!Q17</f>
        <v>&lt; 70%</v>
      </c>
      <c r="D29" s="270" t="str">
        <f ca="1">'Hilfstabelle DatendefKB'!R17</f>
        <v>Derzeit keine Vorgaben</v>
      </c>
      <c r="E29" s="270" t="str">
        <f ca="1">'Hilfstabelle DatendefKB'!S17</f>
        <v>-----</v>
      </c>
      <c r="F29" s="268" t="str">
        <f ca="1">'Hilfstabelle DatendefKB'!T17</f>
        <v>-----</v>
      </c>
      <c r="G29" s="268" t="str">
        <f ca="1">'Hilfstabelle DatendefKB'!U17</f>
        <v>-----</v>
      </c>
      <c r="H29" s="271" t="str">
        <f ca="1">'Hilfstabelle DatendefKB'!V17</f>
        <v>n.d.</v>
      </c>
      <c r="I29" s="268" t="str">
        <f ca="1">'Hilfstabelle DatendefKB'!W17</f>
        <v>Unvollständig</v>
      </c>
      <c r="J29" s="272" t="str">
        <f ca="1">'Hilfstabelle DatendefKB'!X17</f>
        <v>-----</v>
      </c>
      <c r="K29" s="269" t="str">
        <f ca="1">'Hilfstabelle DatendefKB'!Y17</f>
        <v>-----</v>
      </c>
    </row>
    <row r="30" spans="1:12" s="275" customFormat="1" ht="170.1" customHeight="1" x14ac:dyDescent="0.25">
      <c r="A30" s="268">
        <f ca="1">'Hilfstabelle DatendefKB'!O18</f>
        <v>16</v>
      </c>
      <c r="B30" s="269" t="str">
        <f ca="1">'Hilfstabelle DatendefKB'!P18</f>
        <v>Brusterhaltendes Vorgehen bei pT1 (inkl. (y)pT1 u. (y)pT0)</v>
      </c>
      <c r="C30" s="270" t="str">
        <f ca="1">'Hilfstabelle DatendefKB'!Q18</f>
        <v>-----</v>
      </c>
      <c r="D30" s="270" t="str">
        <f ca="1">'Hilfstabelle DatendefKB'!R18</f>
        <v>≥ 70%</v>
      </c>
      <c r="E30" s="270" t="str">
        <f ca="1">'Hilfstabelle DatendefKB'!S18</f>
        <v>-----</v>
      </c>
      <c r="F30" s="268" t="str">
        <f ca="1">'Hilfstabelle DatendefKB'!T18</f>
        <v>-----</v>
      </c>
      <c r="G30" s="268" t="str">
        <f ca="1">'Hilfstabelle DatendefKB'!U18</f>
        <v>-----</v>
      </c>
      <c r="H30" s="271" t="str">
        <f ca="1">'Hilfstabelle DatendefKB'!V18</f>
        <v>n.d.</v>
      </c>
      <c r="I30" s="268" t="str">
        <f ca="1">'Hilfstabelle DatendefKB'!W18</f>
        <v>Unvollständig</v>
      </c>
      <c r="J30" s="272" t="str">
        <f ca="1">'Hilfstabelle DatendefKB'!X18</f>
        <v>-----</v>
      </c>
      <c r="K30" s="269" t="str">
        <f ca="1">'Hilfstabelle DatendefKB'!Y18</f>
        <v>-----</v>
      </c>
    </row>
    <row r="31" spans="1:12" s="275" customFormat="1" ht="170.1" customHeight="1" x14ac:dyDescent="0.25">
      <c r="A31" s="268">
        <f ca="1">'Hilfstabelle DatendefKB'!O19</f>
        <v>17</v>
      </c>
      <c r="B31" s="269" t="str">
        <f ca="1">'Hilfstabelle DatendefKB'!P19</f>
        <v>Mastektomien</v>
      </c>
      <c r="C31" s="270" t="str">
        <f ca="1">'Hilfstabelle DatendefKB'!Q19</f>
        <v>&lt; 15%</v>
      </c>
      <c r="D31" s="270" t="str">
        <f ca="1">'Hilfstabelle DatendefKB'!R19</f>
        <v>Derzeit keine Vorgaben</v>
      </c>
      <c r="E31" s="270" t="str">
        <f ca="1">'Hilfstabelle DatendefKB'!S19</f>
        <v>&gt; 40%</v>
      </c>
      <c r="F31" s="268">
        <f ca="1">'Hilfstabelle DatendefKB'!T19</f>
        <v>0</v>
      </c>
      <c r="G31" s="268">
        <f ca="1">'Hilfstabelle DatendefKB'!U19</f>
        <v>0</v>
      </c>
      <c r="H31" s="271" t="str">
        <f ca="1">'Hilfstabelle DatendefKB'!V19</f>
        <v>n.d.</v>
      </c>
      <c r="I31" s="268" t="str">
        <f ca="1">'Hilfstabelle DatendefKB'!W19</f>
        <v>Unvollständig</v>
      </c>
      <c r="J31" s="272" t="str">
        <f ca="1">'Hilfstabelle DatendefKB'!X19</f>
        <v>-----</v>
      </c>
      <c r="K31" s="269" t="str">
        <f ca="1">'Hilfstabelle DatendefKB'!Y19</f>
        <v>-----</v>
      </c>
    </row>
    <row r="32" spans="1:12" ht="170.1" customHeight="1" x14ac:dyDescent="0.25">
      <c r="A32" s="268">
        <f ca="1">'Hilfstabelle DatendefKB'!O20</f>
        <v>18</v>
      </c>
      <c r="B32" s="269" t="str">
        <f ca="1">'Hilfstabelle DatendefKB'!P20</f>
        <v>LK-Entfernung bei DCIS</v>
      </c>
      <c r="C32" s="270" t="str">
        <f ca="1">'Hilfstabelle DatendefKB'!Q20</f>
        <v>-----</v>
      </c>
      <c r="D32" s="270" t="str">
        <f ca="1">'Hilfstabelle DatendefKB'!R20</f>
        <v>≤ 5%</v>
      </c>
      <c r="E32" s="270" t="str">
        <f ca="1">'Hilfstabelle DatendefKB'!S20</f>
        <v>-----</v>
      </c>
      <c r="F32" s="268" t="str">
        <f ca="1">'Hilfstabelle DatendefKB'!T20</f>
        <v>-----</v>
      </c>
      <c r="G32" s="268" t="str">
        <f ca="1">'Hilfstabelle DatendefKB'!U20</f>
        <v>-----</v>
      </c>
      <c r="H32" s="271" t="str">
        <f ca="1">'Hilfstabelle DatendefKB'!V20</f>
        <v>n.d.</v>
      </c>
      <c r="I32" s="268" t="str">
        <f ca="1">'Hilfstabelle DatendefKB'!W20</f>
        <v>Unvollständig</v>
      </c>
      <c r="J32" s="272" t="str">
        <f ca="1">'Hilfstabelle DatendefKB'!X20</f>
        <v>-----</v>
      </c>
      <c r="K32" s="269" t="str">
        <f ca="1">'Hilfstabelle DatendefKB'!Y20</f>
        <v>-----</v>
      </c>
    </row>
    <row r="33" spans="1:11" ht="170.1" customHeight="1" x14ac:dyDescent="0.25">
      <c r="A33" s="268">
        <f ca="1">'Hilfstabelle DatendefKB'!O21</f>
        <v>19</v>
      </c>
      <c r="B33" s="269" t="str">
        <f ca="1">'Hilfstabelle DatendefKB'!P21</f>
        <v>Bestimmung Nodalstatus bei invasivem Mammakarzinom</v>
      </c>
      <c r="C33" s="270" t="str">
        <f ca="1">'Hilfstabelle DatendefKB'!Q21</f>
        <v>-----</v>
      </c>
      <c r="D33" s="270" t="str">
        <f ca="1">'Hilfstabelle DatendefKB'!R21</f>
        <v>≥ 95%</v>
      </c>
      <c r="E33" s="270" t="str">
        <f ca="1">'Hilfstabelle DatendefKB'!S21</f>
        <v>-----</v>
      </c>
      <c r="F33" s="268" t="str">
        <f ca="1">'Hilfstabelle DatendefKB'!T21</f>
        <v>-----</v>
      </c>
      <c r="G33" s="268" t="str">
        <f ca="1">'Hilfstabelle DatendefKB'!U21</f>
        <v>-----</v>
      </c>
      <c r="H33" s="271" t="str">
        <f ca="1">'Hilfstabelle DatendefKB'!V21</f>
        <v>n.d.</v>
      </c>
      <c r="I33" s="268" t="str">
        <f ca="1">'Hilfstabelle DatendefKB'!W21</f>
        <v>Unvollständig</v>
      </c>
      <c r="J33" s="272" t="str">
        <f ca="1">'Hilfstabelle DatendefKB'!X21</f>
        <v>-----</v>
      </c>
      <c r="K33" s="269" t="str">
        <f ca="1">'Hilfstabelle DatendefKB'!Y21</f>
        <v>-----</v>
      </c>
    </row>
    <row r="34" spans="1:11" ht="170.1" customHeight="1" x14ac:dyDescent="0.25">
      <c r="A34" s="268" t="str">
        <f ca="1">'Hilfstabelle DatendefKB'!O22</f>
        <v>20a</v>
      </c>
      <c r="B34" s="269" t="str">
        <f ca="1">'Hilfstabelle DatendefKB'!P22</f>
        <v>Alleinige Sentinel-Lymphknoten-Entfernung (SNB) bei pN0 (Frauen)</v>
      </c>
      <c r="C34" s="270" t="str">
        <f ca="1">'Hilfstabelle DatendefKB'!Q22</f>
        <v>-----</v>
      </c>
      <c r="D34" s="270" t="str">
        <f ca="1">'Hilfstabelle DatendefKB'!R22</f>
        <v xml:space="preserve">≥ 80% </v>
      </c>
      <c r="E34" s="270" t="str">
        <f ca="1">'Hilfstabelle DatendefKB'!S22</f>
        <v>-----</v>
      </c>
      <c r="F34" s="268" t="str">
        <f ca="1">'Hilfstabelle DatendefKB'!T22</f>
        <v>-----</v>
      </c>
      <c r="G34" s="268" t="str">
        <f ca="1">'Hilfstabelle DatendefKB'!U22</f>
        <v>-----</v>
      </c>
      <c r="H34" s="271" t="str">
        <f ca="1">'Hilfstabelle DatendefKB'!V22</f>
        <v>n.d.</v>
      </c>
      <c r="I34" s="268" t="str">
        <f ca="1">'Hilfstabelle DatendefKB'!W22</f>
        <v>Unvollständig</v>
      </c>
      <c r="J34" s="272" t="str">
        <f ca="1">'Hilfstabelle DatendefKB'!X22</f>
        <v>-----</v>
      </c>
      <c r="K34" s="269" t="str">
        <f ca="1">'Hilfstabelle DatendefKB'!Y22</f>
        <v>-----</v>
      </c>
    </row>
    <row r="35" spans="1:11" ht="170.1" customHeight="1" x14ac:dyDescent="0.25">
      <c r="A35" s="268" t="str">
        <f ca="1">'Hilfstabelle DatendefKB'!O23</f>
        <v>20b</v>
      </c>
      <c r="B35" s="269" t="str">
        <f ca="1">'Hilfstabelle DatendefKB'!P23</f>
        <v>Alleinige Sentinel-Lymphknoten-Entfernung (SNB) bei pN0 (Männer)</v>
      </c>
      <c r="C35" s="270" t="str">
        <f ca="1">'Hilfstabelle DatendefKB'!Q23</f>
        <v>-----</v>
      </c>
      <c r="D35" s="270" t="str">
        <f ca="1">'Hilfstabelle DatendefKB'!R23</f>
        <v xml:space="preserve">≥ 80% </v>
      </c>
      <c r="E35" s="270" t="str">
        <f ca="1">'Hilfstabelle DatendefKB'!S23</f>
        <v>-----</v>
      </c>
      <c r="F35" s="268" t="str">
        <f ca="1">'Hilfstabelle DatendefKB'!T23</f>
        <v>-----</v>
      </c>
      <c r="G35" s="268" t="str">
        <f ca="1">'Hilfstabelle DatendefKB'!U23</f>
        <v>-----</v>
      </c>
      <c r="H35" s="271" t="str">
        <f ca="1">'Hilfstabelle DatendefKB'!V23</f>
        <v>n.d.</v>
      </c>
      <c r="I35" s="268" t="str">
        <f ca="1">'Hilfstabelle DatendefKB'!W23</f>
        <v>Unvollständig</v>
      </c>
      <c r="J35" s="272" t="str">
        <f ca="1">'Hilfstabelle DatendefKB'!X23</f>
        <v>-----</v>
      </c>
      <c r="K35" s="269" t="str">
        <f ca="1">'Hilfstabelle DatendefKB'!Y23</f>
        <v>-----</v>
      </c>
    </row>
    <row r="36" spans="1:11" ht="170.1" customHeight="1" x14ac:dyDescent="0.25">
      <c r="A36" s="268">
        <f ca="1">'Hilfstabelle DatendefKB'!O24</f>
        <v>21</v>
      </c>
      <c r="B36" s="269" t="str">
        <f ca="1">'Hilfstabelle DatendefKB'!P24</f>
        <v>Intraoperative Präparateradio-/-sonographie</v>
      </c>
      <c r="C36" s="270" t="str">
        <f ca="1">'Hilfstabelle DatendefKB'!Q24</f>
        <v>-----</v>
      </c>
      <c r="D36" s="270" t="str">
        <f ca="1">'Hilfstabelle DatendefKB'!R24</f>
        <v>≥ 95%</v>
      </c>
      <c r="E36" s="270" t="str">
        <f ca="1">'Hilfstabelle DatendefKB'!S24</f>
        <v>-----</v>
      </c>
      <c r="F36" s="268" t="str">
        <f ca="1">'Hilfstabelle DatendefKB'!T24</f>
        <v>-----</v>
      </c>
      <c r="G36" s="268" t="str">
        <f ca="1">'Hilfstabelle DatendefKB'!U24</f>
        <v>-----</v>
      </c>
      <c r="H36" s="271" t="str">
        <f ca="1">'Hilfstabelle DatendefKB'!V24</f>
        <v>n.d.</v>
      </c>
      <c r="I36" s="268" t="str">
        <f ca="1">'Hilfstabelle DatendefKB'!W24</f>
        <v>Unvollständig</v>
      </c>
      <c r="J36" s="272" t="str">
        <f ca="1">'Hilfstabelle DatendefKB'!X24</f>
        <v>-----</v>
      </c>
      <c r="K36" s="269" t="str">
        <f ca="1">'Hilfstabelle DatendefKB'!Y24</f>
        <v>-----</v>
      </c>
    </row>
    <row r="37" spans="1:11" ht="170.1" customHeight="1" x14ac:dyDescent="0.25">
      <c r="A37" s="268">
        <f ca="1">'Hilfstabelle DatendefKB'!O25</f>
        <v>22</v>
      </c>
      <c r="B37" s="269" t="str">
        <f ca="1">'Hilfstabelle DatendefKB'!P25</f>
        <v>Revisionsoperationen</v>
      </c>
      <c r="C37" s="270" t="str">
        <f ca="1">'Hilfstabelle DatendefKB'!Q25</f>
        <v>&lt; 0,01%</v>
      </c>
      <c r="D37" s="270" t="str">
        <f ca="1">'Hilfstabelle DatendefKB'!R25</f>
        <v xml:space="preserve">≤ 5% </v>
      </c>
      <c r="E37" s="270" t="str">
        <f ca="1">'Hilfstabelle DatendefKB'!S25</f>
        <v>-----</v>
      </c>
      <c r="F37" s="268" t="str">
        <f ca="1">'Hilfstabelle DatendefKB'!T25</f>
        <v>-----</v>
      </c>
      <c r="G37" s="268">
        <f ca="1">'Hilfstabelle DatendefKB'!U25</f>
        <v>0</v>
      </c>
      <c r="H37" s="271" t="str">
        <f ca="1">'Hilfstabelle DatendefKB'!V25</f>
        <v>n.d.</v>
      </c>
      <c r="I37" s="268" t="str">
        <f ca="1">'Hilfstabelle DatendefKB'!W25</f>
        <v>Unvollständig</v>
      </c>
      <c r="J37" s="272" t="str">
        <f ca="1">'Hilfstabelle DatendefKB'!X25</f>
        <v>-----</v>
      </c>
      <c r="K37" s="269" t="str">
        <f ca="1">'Hilfstabelle DatendefKB'!Y25</f>
        <v>-----</v>
      </c>
    </row>
    <row r="38" spans="1:11" ht="169.5" customHeight="1" x14ac:dyDescent="0.25">
      <c r="A38" s="268">
        <f ca="1">'Hilfstabelle DatendefKB'!O26</f>
        <v>23</v>
      </c>
      <c r="B38" s="269" t="str">
        <f ca="1">'Hilfstabelle DatendefKB'!P26</f>
        <v>Therapie der axillären Lymphabflussgebiete bei pN1mi</v>
      </c>
      <c r="C38" s="270" t="str">
        <f ca="1">'Hilfstabelle DatendefKB'!Q26</f>
        <v>-----</v>
      </c>
      <c r="D38" s="270" t="str">
        <f ca="1">'Hilfstabelle DatendefKB'!R26</f>
        <v xml:space="preserve">≤ 5% </v>
      </c>
      <c r="E38" s="270" t="str">
        <f ca="1">'Hilfstabelle DatendefKB'!S26</f>
        <v>-----</v>
      </c>
      <c r="F38" s="268" t="str">
        <f ca="1">'Hilfstabelle DatendefKB'!T26</f>
        <v>-----</v>
      </c>
      <c r="G38" s="268" t="str">
        <f ca="1">'Hilfstabelle DatendefKB'!U26</f>
        <v>-----</v>
      </c>
      <c r="H38" s="271" t="str">
        <f ca="1">'Hilfstabelle DatendefKB'!V26</f>
        <v>n.d.</v>
      </c>
      <c r="I38" s="268" t="str">
        <f ca="1">'Hilfstabelle DatendefKB'!W26</f>
        <v>Unvollständig</v>
      </c>
      <c r="J38" s="272" t="str">
        <f ca="1">'Hilfstabelle DatendefKB'!X26</f>
        <v>-----</v>
      </c>
      <c r="K38" s="269" t="str">
        <f ca="1">'Hilfstabelle DatendefKB'!Y26</f>
        <v>-----</v>
      </c>
    </row>
  </sheetData>
  <sheetProtection algorithmName="SHA-512" hashValue="dy4PSQZvDjkpdXEeHhtTlUGZd9HIjy26xd/ehmGPyFkzLnYgB9Wdu2d9tzv5QavYsbRd0+LaB07A2kT4X6ZU+w==" saltValue="W3XjVIwsCS3VtCsHBZTjyA==" spinCount="100000" sheet="1" objects="1" scenarios="1" selectLockedCells="1"/>
  <mergeCells count="8">
    <mergeCell ref="C8:F8"/>
    <mergeCell ref="C6:J6"/>
    <mergeCell ref="A12:A13"/>
    <mergeCell ref="B12:B13"/>
    <mergeCell ref="C12:E12"/>
    <mergeCell ref="F12:H12"/>
    <mergeCell ref="I12:I13"/>
    <mergeCell ref="J12:K12"/>
  </mergeCells>
  <phoneticPr fontId="34" type="noConversion"/>
  <conditionalFormatting sqref="A14:H38 J14:K38">
    <cfRule type="notContainsBlanks" dxfId="103" priority="24" stopIfTrue="1">
      <formula>LEN(TRIM(A14))&gt;0</formula>
    </cfRule>
  </conditionalFormatting>
  <conditionalFormatting sqref="A12:J13">
    <cfRule type="expression" dxfId="102" priority="7" stopIfTrue="1">
      <formula>$B$10="Kein Datendefizit vorhanden"</formula>
    </cfRule>
  </conditionalFormatting>
  <conditionalFormatting sqref="I14:I38">
    <cfRule type="expression" dxfId="101" priority="1" stopIfTrue="1">
      <formula>OR(AND($I14&lt;&gt;"",$I14="Unvollständig"),AND($I14&lt;&gt;"",$I14="Inkorrekt"))</formula>
    </cfRule>
    <cfRule type="expression" dxfId="100" priority="3" stopIfTrue="1">
      <formula>AND($I14&lt;&gt;"",$I14="Sollvorgabe nicht erfüllt")</formula>
    </cfRule>
    <cfRule type="expression" dxfId="99" priority="4" stopIfTrue="1">
      <formula>AND($I14&lt;&gt;"",$I14="optional - Sollvorgabe nicht erfüllt")</formula>
    </cfRule>
    <cfRule type="expression" dxfId="98" priority="5" stopIfTrue="1">
      <formula>AND($I14&lt;&gt;"",$I14="I.O. (Plausibilität unklar)")</formula>
    </cfRule>
    <cfRule type="expression" dxfId="97" priority="20" stopIfTrue="1">
      <formula>AND($I14&lt;&gt;"",$I14="optional - I.O. (Plausibilität unklar)")</formula>
    </cfRule>
    <cfRule type="expression" dxfId="96" priority="21" stopIfTrue="1">
      <formula>AND($I14&lt;&gt;"",$I14="Ausnahme (Plausibilität unklar)")</formula>
    </cfRule>
    <cfRule type="expression" dxfId="95" priority="22" stopIfTrue="1">
      <formula>AND($I14&lt;&gt;"",$I14="optional - Unvollständig")</formula>
    </cfRule>
  </conditionalFormatting>
  <conditionalFormatting sqref="J12:K12">
    <cfRule type="expression" dxfId="94" priority="2">
      <formula>$B$10=""</formula>
    </cfRule>
  </conditionalFormatting>
  <conditionalFormatting sqref="K13">
    <cfRule type="expression" dxfId="93" priority="6" stopIfTrue="1">
      <formula>$B$10="Kein Datendefizit vorhanden"</formula>
    </cfRule>
  </conditionalFormatting>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ignoredErrors>
    <ignoredError sqref="D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Y41"/>
  <sheetViews>
    <sheetView topLeftCell="A8" workbookViewId="0">
      <selection activeCell="D14" sqref="D14"/>
    </sheetView>
  </sheetViews>
  <sheetFormatPr baseColWidth="10" defaultColWidth="11.42578125" defaultRowHeight="11.25" x14ac:dyDescent="0.25"/>
  <cols>
    <col min="1" max="1" width="14" style="165" customWidth="1"/>
    <col min="2" max="2" width="3.85546875" style="89" customWidth="1"/>
    <col min="3" max="3" width="9.7109375" style="165" customWidth="1"/>
    <col min="4" max="4" width="41.7109375" style="160" customWidth="1"/>
    <col min="5" max="5" width="9.140625" style="89" customWidth="1"/>
    <col min="6" max="6" width="11.42578125" style="165" customWidth="1"/>
    <col min="7" max="10" width="9.140625" style="89" customWidth="1"/>
    <col min="11" max="11" width="12.42578125" style="165" customWidth="1"/>
    <col min="12" max="12" width="19.42578125" style="166" customWidth="1"/>
    <col min="13" max="13" width="24.42578125" style="166" customWidth="1"/>
    <col min="14" max="14" width="9.140625" style="89" customWidth="1"/>
    <col min="15" max="15" width="6.42578125" style="165" customWidth="1"/>
    <col min="16" max="16" width="34.28515625" style="89" customWidth="1"/>
    <col min="17" max="17" width="9.140625" style="89" customWidth="1"/>
    <col min="18" max="18" width="9.140625" style="165" customWidth="1"/>
    <col min="19" max="256" width="9.140625" style="89" customWidth="1"/>
    <col min="257" max="16384" width="11.42578125" style="89"/>
  </cols>
  <sheetData>
    <row r="1" spans="1:25" ht="22.5" x14ac:dyDescent="0.25">
      <c r="A1" s="243" t="s">
        <v>373</v>
      </c>
      <c r="B1" s="165"/>
      <c r="C1" s="167" t="s">
        <v>250</v>
      </c>
      <c r="D1" s="164" t="s">
        <v>594</v>
      </c>
      <c r="E1" s="100" t="s">
        <v>22</v>
      </c>
      <c r="F1" s="100" t="s">
        <v>253</v>
      </c>
      <c r="G1" s="100" t="s">
        <v>22</v>
      </c>
      <c r="H1" s="167" t="s">
        <v>0</v>
      </c>
      <c r="I1" s="167" t="s">
        <v>254</v>
      </c>
      <c r="J1" s="167" t="s">
        <v>303</v>
      </c>
      <c r="K1" s="167" t="s">
        <v>373</v>
      </c>
      <c r="L1" s="167" t="s">
        <v>1</v>
      </c>
      <c r="M1" s="167" t="s">
        <v>23</v>
      </c>
      <c r="O1" s="163" t="s">
        <v>44</v>
      </c>
    </row>
    <row r="2" spans="1:25" ht="22.5" customHeight="1" x14ac:dyDescent="0.25">
      <c r="A2" s="242" t="str">
        <f>IF('Kennzahlenbogen_(KB)'!P9=0,"",'Kennzahlenbogen_(KB)'!P9)</f>
        <v>Unvollständig</v>
      </c>
      <c r="C2" s="242">
        <f>IF($A2="I.O.","",'Kennzahlenbogen_(KB)'!A9)</f>
        <v>1</v>
      </c>
      <c r="D2" s="161" t="str">
        <f>IF($A2="I.O.","",'Kennzahlenbogen_(KB)'!C9)</f>
        <v>Postoperative Fallbesprechung</v>
      </c>
      <c r="E2" s="159" t="str">
        <f>IF(AND('Kennzahlenbogen_(KB)'!J9="",$A2&lt;&gt;"I.O."),"-----",IF($A2="I.O.","",'Kennzahlenbogen_(KB)'!J9))</f>
        <v>-----</v>
      </c>
      <c r="F2" s="158" t="str">
        <f>IF($A2="I.O.","",'Kennzahlenbogen_(KB)'!K9)</f>
        <v>≥ 95%</v>
      </c>
      <c r="G2" s="159" t="str">
        <f>IF(AND('Kennzahlenbogen_(KB)'!M9="",$A2&lt;&gt;"I.O."),"-----",IF($A2="I.O.","",'Kennzahlenbogen_(KB)'!M9))</f>
        <v>-----</v>
      </c>
      <c r="H2" s="157" t="str">
        <f>IF($A2="I.O.","",IF('Kennzahlenbogen_(KB)'!O9="","-----",'Kennzahlenbogen_(KB)'!O9))</f>
        <v>-----</v>
      </c>
      <c r="I2" s="157">
        <f>IF($A2="I.O.","",IF('Kennzahlenbogen_(KB)'!O10="","-----",'Kennzahlenbogen_(KB)'!O10))</f>
        <v>0</v>
      </c>
      <c r="J2" s="156" t="str">
        <f>IF($A2="I.O.","",IF('Kennzahlenbogen_(KB)'!O11="",0,'Kennzahlenbogen_(KB)'!O11))</f>
        <v>n.d.</v>
      </c>
      <c r="K2" s="242" t="str">
        <f>IF($A2="I.O.","",'Kennzahlenbogen_(KB)'!P9)</f>
        <v>Unvollständig</v>
      </c>
      <c r="L2" s="162" t="str">
        <f>IF(AND('Kennzahlenbogen_(KB)'!Q9="",$A2&lt;&gt;"I.O."),"-----",IF($A2="I.O.","",'Kennzahlenbogen_(KB)'!Q9))</f>
        <v>-----</v>
      </c>
      <c r="M2" s="162" t="str">
        <f>IF(AND('Kennzahlenbogen_(KB)'!R9="",$A2&lt;&gt;"I.O."),"-----",IF($A2="I.O.","",'Kennzahlenbogen_(KB)'!R9))</f>
        <v>-----</v>
      </c>
      <c r="O2" s="242">
        <f t="array" aca="1" ref="O2" ca="1">IF(ROW()-ROW($D$2:$D$26)+1&gt;ROWS($C$2:$C$26)-COUNTBLANK($C$2:$C$26),"",INDIRECT(ADDRESS(SMALL((IF($C$2:$C$26&lt;&gt;"",ROW($C$2:$C$26),ROW()+ROWS($C$2:$C$26))),ROW()-ROW($D$2:$D$26)+1),COLUMN($C$2:$C$26),4)))</f>
        <v>1</v>
      </c>
      <c r="P2" s="162" t="str">
        <f t="array" aca="1" ref="P2" ca="1">IF(ROW()-ROW($E$2:$E$26)+1&gt;ROWS($D$2:$D$26)-COUNTBLANK($D$2:$D$26),"",INDIRECT(ADDRESS(SMALL((IF($D$2:$D$26&gt;"",ROW($D$2:$D$26),ROW()+ROWS($D$2:$D$26))),ROW()-ROW($E$2:$E$26)+1),COLUMN($D$2:$D$26),4)))</f>
        <v>Postoperative Fallbesprechung</v>
      </c>
      <c r="Q2" s="159" t="str">
        <f t="array" aca="1" ref="Q2" ca="1">IF(ROW()-ROW($F$2:$F$26)+1&gt;ROWS($E$2:$E$26)-COUNTBLANK($E$2:$E$26),"",INDIRECT(ADDRESS(SMALL((IF($E$2:$E$26&gt;"",ROW($E$2:$E$26),ROW()+ROWS($E$2:$E$26))),ROW()-ROW($F$2:$F$26)+1),COLUMN($E$2:$E$26),4)))</f>
        <v>-----</v>
      </c>
      <c r="R2" s="158" t="str">
        <f t="array" aca="1" ref="R2" ca="1">IF(ROW()-ROW($G$2:$G$26)+1&gt;ROWS($F$2:$F$26)-COUNTBLANK($F$2:$F$26),"",INDIRECT(ADDRESS(SMALL((IF($F$2:$F$26&gt;"",ROW($F$2:$F$26),ROW()+ROWS($F$2:$F$26))),ROW()-ROW($G$2:$G$26)+1),COLUMN($F$2:$F$26),4)))</f>
        <v>≥ 95%</v>
      </c>
      <c r="S2" s="159" t="str">
        <f t="array" aca="1" ref="S2" ca="1">IF(ROW()-ROW($H$2:$H$26)+1&gt;ROWS($G$2:$G$26)-COUNTBLANK($G$2:$G$26),"",INDIRECT(ADDRESS(SMALL((IF($G$2:$G$26&lt;&gt;"",ROW($G$2:$G$26),ROW()+ROWS($G$2:$G$26))),ROW()-ROW($H$2:$H$26)+1),COLUMN($G$2:$G$26),4)))</f>
        <v>-----</v>
      </c>
      <c r="T2" s="157" t="str">
        <f t="array" aca="1" ref="T2" ca="1">IF(ROW()-ROW($I$2:$I$26)+1&gt;ROWS($H$2:$H$26)-COUNTBLANK($H$2:$H$26),"",INDIRECT(ADDRESS(SMALL((IF($H$2:$H$26&lt;&gt;"",ROW($H$2:$H$26),ROW()+ROWS($H$2:$H$26))),ROW()-ROW($I$2:$I$26)+1),COLUMN($H$2:$H$26),4)))</f>
        <v>-----</v>
      </c>
      <c r="U2" s="157">
        <f t="array" aca="1" ref="U2" ca="1">IF(ROW()-ROW($J$2:$J$26)+1&gt;ROWS($I$2:$I$26)-COUNTBLANK($I$2:$I$26),"",INDIRECT(ADDRESS(SMALL((IF($I$2:$I$26&lt;&gt;"",ROW($I$2:$I$26),ROW()+ROWS($I$2:$I$26))),ROW()-ROW($J$2:$J$26)+1),COLUMN($I$2:$I$26),4)))</f>
        <v>0</v>
      </c>
      <c r="V2" s="159" t="str">
        <f t="array" aca="1" ref="V2" ca="1">IF(ROW()-ROW($K$2:$K$26)+1&gt;ROWS($J$2:$J$26)-COUNTBLANK($J$2:$J$26),"",INDIRECT(ADDRESS(SMALL((IF($J$2:$J$26&lt;&gt;"",ROW($J$2:$J$26),ROW()+ROWS($J$2:$J$26))),ROW()-ROW($K$2:$K$26)+1),COLUMN($J$2:$J$26),4)))</f>
        <v>n.d.</v>
      </c>
      <c r="W2" s="70" t="str">
        <f t="array" aca="1" ref="W2" ca="1">IF(ROW()-ROW($L$2:$L$26)+1&gt;ROWS($K$2:$K$26)-COUNTBLANK($K$2:$K$26),"",INDIRECT(ADDRESS(SMALL((IF($K$2:$K$26&lt;&gt;"",ROW($K$2:$K$26),ROW()+ROWS($K$2:$K$26))),ROW()-ROW($L$2:$L$26)+1),COLUMN($K$2:$K$26),4)))</f>
        <v>Unvollständig</v>
      </c>
      <c r="X2" s="162" t="str">
        <f t="array" aca="1" ref="X2" ca="1">IF(ROW()-ROW($M$2:$M$26)+1&gt;ROWS($L$2:$L$26)-COUNTBLANK($L$2:$L$26),"",INDIRECT(ADDRESS(SMALL((IF($L$2:$L$26&lt;&gt;"",ROW($L$2:$L$26),ROW()+ROWS($L$2:$L$26))),ROW()-ROW($M$2:$M$26)+1),COLUMN($L$2:$L$26),4)))</f>
        <v>-----</v>
      </c>
      <c r="Y2" s="162" t="str">
        <f t="array" aca="1" ref="Y2" ca="1">IF(ROW()-ROW($N$2:$N$26)+1&gt;ROWS($M$2:$M$26)-COUNTBLANK($M$2:$M$26),"",INDIRECT(ADDRESS(SMALL((IF($M$2:$M$26&lt;&gt;"",ROW($M$2:$M$26),ROW()+ROWS($M$2:$M$26))),ROW()-ROW($N$2:$N$26)+1),COLUMN($M$2:$M$26),4)))</f>
        <v>-----</v>
      </c>
    </row>
    <row r="3" spans="1:25" ht="22.5" customHeight="1" x14ac:dyDescent="0.25">
      <c r="A3" s="242" t="str">
        <f>IF('Kennzahlenbogen_(KB)'!P12=0,"",'Kennzahlenbogen_(KB)'!P12)</f>
        <v>Unvollständig</v>
      </c>
      <c r="C3" s="242">
        <f>IF($A3="I.O.","",'Kennzahlenbogen_(KB)'!A12)</f>
        <v>2</v>
      </c>
      <c r="D3" s="161" t="str">
        <f>IF($A3="I.O.","",'Kennzahlenbogen_(KB)'!C12)</f>
        <v>Prätherapeutische Fallbesprechung</v>
      </c>
      <c r="E3" s="159" t="str">
        <f>IF(AND('Kennzahlenbogen_(KB)'!J12="",$A3&lt;&gt;"I.O."),"-----",IF($A3="I.O.","",'Kennzahlenbogen_(KB)'!J12))</f>
        <v>-----</v>
      </c>
      <c r="F3" s="158" t="str">
        <f>IF($A3="I.O.","",'Kennzahlenbogen_(KB)'!K12)</f>
        <v>≥ 40%</v>
      </c>
      <c r="G3" s="159" t="str">
        <f>IF(AND('Kennzahlenbogen_(KB)'!M12="",$A3&lt;&gt;"I.O."),"-----",IF($A3="I.O.","",'Kennzahlenbogen_(KB)'!M12))</f>
        <v>-----</v>
      </c>
      <c r="H3" s="157" t="str">
        <f>IF($A3="I.O.","",IF('Kennzahlenbogen_(KB)'!O12="","-----",'Kennzahlenbogen_(KB)'!O12))</f>
        <v>-----</v>
      </c>
      <c r="I3" s="157">
        <f>IF($A3="I.O.","",IF('Kennzahlenbogen_(KB)'!O13="","-----",'Kennzahlenbogen_(KB)'!O13))</f>
        <v>0</v>
      </c>
      <c r="J3" s="156" t="str">
        <f>IF($A3="I.O.","",IF('Kennzahlenbogen_(KB)'!O14="",0,'Kennzahlenbogen_(KB)'!O14))</f>
        <v>n.d.</v>
      </c>
      <c r="K3" s="242" t="str">
        <f>IF($A3="I.O.","",'Kennzahlenbogen_(KB)'!P12)</f>
        <v>Unvollständig</v>
      </c>
      <c r="L3" s="162" t="str">
        <f>IF(AND('Kennzahlenbogen_(KB)'!Q12="",$A3&lt;&gt;"I.O."),"-----",IF($A3="I.O.","",'Kennzahlenbogen_(KB)'!Q12))</f>
        <v>-----</v>
      </c>
      <c r="M3" s="162" t="str">
        <f>IF(AND('Kennzahlenbogen_(KB)'!R12="",$A3&lt;&gt;"I.O."),"-----",IF($A3="I.O.","",'Kennzahlenbogen_(KB)'!R12))</f>
        <v>-----</v>
      </c>
      <c r="O3" s="242">
        <f t="array" aca="1" ref="O3" ca="1">IF(ROW()-ROW($D$2:$D$26)+1&gt;ROWS($C$2:$C$26)-COUNTBLANK($C$2:$C$26),"",INDIRECT(ADDRESS(SMALL((IF($C$2:$C$26&lt;&gt;"",ROW($C$2:$C$26),ROW()+ROWS($C$2:$C$26))),ROW()-ROW($D$2:$D$26)+1),COLUMN($C$2:$C$26),4)))</f>
        <v>2</v>
      </c>
      <c r="P3" s="162" t="str">
        <f t="array" aca="1" ref="P3" ca="1">IF(ROW()-ROW($E$2:$E$26)+1&gt;ROWS($D$2:$D$26)-COUNTBLANK($D$2:$D$26),"",INDIRECT(ADDRESS(SMALL((IF($D$2:$D$26&gt;"",ROW($D$2:$D$26),ROW()+ROWS($D$2:$D$26))),ROW()-ROW($E$2:$E$26)+1),COLUMN($D$2:$D$26),4)))</f>
        <v>Prätherapeutische Fallbesprechung</v>
      </c>
      <c r="Q3" s="159" t="str">
        <f t="array" aca="1" ref="Q3" ca="1">IF(ROW()-ROW($F$2:$F$26)+1&gt;ROWS($E$2:$E$26)-COUNTBLANK($E$2:$E$26),"",INDIRECT(ADDRESS(SMALL((IF($E$2:$E$26&gt;"",ROW($E$2:$E$26),ROW()+ROWS($E$2:$E$26))),ROW()-ROW($F$2:$F$26)+1),COLUMN($E$2:$E$26),4)))</f>
        <v>-----</v>
      </c>
      <c r="R3" s="158" t="str">
        <f t="array" aca="1" ref="R3" ca="1">IF(ROW()-ROW($G$2:$G$26)+1&gt;ROWS($F$2:$F$26)-COUNTBLANK($F$2:$F$26),"",INDIRECT(ADDRESS(SMALL((IF($F$2:$F$26&gt;"",ROW($F$2:$F$26),ROW()+ROWS($F$2:$F$26))),ROW()-ROW($G$2:$G$26)+1),COLUMN($F$2:$F$26),4)))</f>
        <v>≥ 40%</v>
      </c>
      <c r="S3" s="159" t="str">
        <f t="array" aca="1" ref="S3" ca="1">IF(ROW()-ROW($H$2:$H$26)+1&gt;ROWS($G$2:$G$26)-COUNTBLANK($G$2:$G$26),"",INDIRECT(ADDRESS(SMALL((IF($G$2:$G$26&lt;&gt;"",ROW($G$2:$G$26),ROW()+ROWS($G$2:$G$26))),ROW()-ROW($H$2:$H$26)+1),COLUMN($G$2:$G$26),4)))</f>
        <v>-----</v>
      </c>
      <c r="T3" s="157" t="str">
        <f t="array" aca="1" ref="T3" ca="1">IF(ROW()-ROW($I$2:$I$26)+1&gt;ROWS($H$2:$H$26)-COUNTBLANK($H$2:$H$26),"",INDIRECT(ADDRESS(SMALL((IF($H$2:$H$26&lt;&gt;"",ROW($H$2:$H$26),ROW()+ROWS($H$2:$H$26))),ROW()-ROW($I$2:$I$26)+1),COLUMN($H$2:$H$26),4)))</f>
        <v>-----</v>
      </c>
      <c r="U3" s="157">
        <f t="array" aca="1" ref="U3" ca="1">IF(ROW()-ROW($J$2:$J$26)+1&gt;ROWS($I$2:$I$26)-COUNTBLANK($I$2:$I$26),"",INDIRECT(ADDRESS(SMALL((IF($I$2:$I$26&lt;&gt;"",ROW($I$2:$I$26),ROW()+ROWS($I$2:$I$26))),ROW()-ROW($J$2:$J$26)+1),COLUMN($I$2:$I$26),4)))</f>
        <v>0</v>
      </c>
      <c r="V3" s="159" t="str">
        <f t="array" aca="1" ref="V3" ca="1">IF(ROW()-ROW($K$2:$K$26)+1&gt;ROWS($J$2:$J$26)-COUNTBLANK($J$2:$J$26),"",INDIRECT(ADDRESS(SMALL((IF($J$2:$J$26&lt;&gt;"",ROW($J$2:$J$26),ROW()+ROWS($J$2:$J$26))),ROW()-ROW($K$2:$K$26)+1),COLUMN($J$2:$J$26),4)))</f>
        <v>n.d.</v>
      </c>
      <c r="W3" s="70" t="str">
        <f t="array" aca="1" ref="W3" ca="1">IF(ROW()-ROW($L$2:$L$26)+1&gt;ROWS($K$2:$K$26)-COUNTBLANK($K$2:$K$26),"",INDIRECT(ADDRESS(SMALL((IF($K$2:$K$26&lt;&gt;"",ROW($K$2:$K$26),ROW()+ROWS($K$2:$K$26))),ROW()-ROW($L$2:$L$26)+1),COLUMN($K$2:$K$26),4)))</f>
        <v>Unvollständig</v>
      </c>
      <c r="X3" s="162" t="str">
        <f t="array" aca="1" ref="X3" ca="1">IF(ROW()-ROW($M$2:$M$26)+1&gt;ROWS($L$2:$L$26)-COUNTBLANK($L$2:$L$26),"",INDIRECT(ADDRESS(SMALL((IF($L$2:$L$26&lt;&gt;"",ROW($L$2:$L$26),ROW()+ROWS($L$2:$L$26))),ROW()-ROW($M$2:$M$26)+1),COLUMN($L$2:$L$26),4)))</f>
        <v>-----</v>
      </c>
      <c r="Y3" s="162" t="str">
        <f t="array" aca="1" ref="Y3" ca="1">IF(ROW()-ROW($N$2:$N$26)+1&gt;ROWS($M$2:$M$26)-COUNTBLANK($M$2:$M$26),"",INDIRECT(ADDRESS(SMALL((IF($M$2:$M$26&lt;&gt;"",ROW($M$2:$M$26),ROW()+ROWS($M$2:$M$26))),ROW()-ROW($N$2:$N$26)+1),COLUMN($M$2:$M$26),4)))</f>
        <v>-----</v>
      </c>
    </row>
    <row r="4" spans="1:25" ht="22.5" customHeight="1" x14ac:dyDescent="0.25">
      <c r="A4" s="242" t="str">
        <f>IF('Kennzahlenbogen_(KB)'!P15=0,"",'Kennzahlenbogen_(KB)'!P15)</f>
        <v>Unvollständig</v>
      </c>
      <c r="C4" s="345">
        <f>IF($A4="I.O.","",'Kennzahlenbogen_(KB)'!A15)</f>
        <v>3</v>
      </c>
      <c r="D4" s="390" t="str">
        <f>IF($A4="I.O.","",'Kennzahlenbogen_(KB)'!C15)</f>
        <v>Fallbesprechung bei Lokalrezidiv/ Metastasen</v>
      </c>
      <c r="E4" s="391" t="str">
        <f>IF(AND('Kennzahlenbogen_(KB)'!J15="",$A4&lt;&gt;"I.O."),"-----",IF($A4="I.O.","",'Kennzahlenbogen_(KB)'!J15))</f>
        <v>&lt; 70%</v>
      </c>
      <c r="F4" s="392" t="str">
        <f>IF($A4="I.O.","",'Kennzahlenbogen_(KB)'!K15)</f>
        <v>Derzeit keine Vorgaben</v>
      </c>
      <c r="G4" s="391" t="str">
        <f>IF(AND('Kennzahlenbogen_(KB)'!M15="",$A4&lt;&gt;"I.O."),"-----",IF($A4="I.O.","",'Kennzahlenbogen_(KB)'!M15))</f>
        <v>-----</v>
      </c>
      <c r="H4" s="393" t="str">
        <f>IF($A4="I.O.","",IF('Kennzahlenbogen_(KB)'!O15="","-----",'Kennzahlenbogen_(KB)'!O15))</f>
        <v>-----</v>
      </c>
      <c r="I4" s="393" t="str">
        <f>IF($A4="I.O.","",IF('Kennzahlenbogen_(KB)'!O16="","-----",'Kennzahlenbogen_(KB)'!O16))</f>
        <v>-----</v>
      </c>
      <c r="J4" s="394" t="str">
        <f>IF($A4="I.O.","",IF('Kennzahlenbogen_(KB)'!O17="","-----",'Kennzahlenbogen_(KB)'!O17))</f>
        <v>n.d.</v>
      </c>
      <c r="K4" s="345" t="str">
        <f>IF($A4="I.O.","",'Kennzahlenbogen_(KB)'!P15)</f>
        <v>Unvollständig</v>
      </c>
      <c r="L4" s="395" t="str">
        <f>IF(AND('Kennzahlenbogen_(KB)'!Q15="",$A4&lt;&gt;"I.O."),"-----",IF($A4="I.O.","",'Kennzahlenbogen_(KB)'!Q15))</f>
        <v>-----</v>
      </c>
      <c r="M4" s="395" t="str">
        <f>IF(AND('Kennzahlenbogen_(KB)'!R15="",$A4&lt;&gt;"I.O."),"-----",IF($A4="I.O.","",'Kennzahlenbogen_(KB)'!R15))</f>
        <v>-----</v>
      </c>
      <c r="O4" s="242">
        <f t="array" aca="1" ref="O4" ca="1">IF(ROW()-ROW($D$2:$D$26)+1&gt;ROWS($C$2:$C$26)-COUNTBLANK($C$2:$C$26),"",INDIRECT(ADDRESS(SMALL((IF($C$2:$C$26&lt;&gt;"",ROW($C$2:$C$26),ROW()+ROWS($C$2:$C$26))),ROW()-ROW($D$2:$D$26)+1),COLUMN($C$2:$C$26),4)))</f>
        <v>3</v>
      </c>
      <c r="P4" s="162" t="str">
        <f t="array" aca="1" ref="P4" ca="1">IF(ROW()-ROW($E$2:$E$26)+1&gt;ROWS($D$2:$D$26)-COUNTBLANK($D$2:$D$26),"",INDIRECT(ADDRESS(SMALL((IF($D$2:$D$26&gt;"",ROW($D$2:$D$26),ROW()+ROWS($D$2:$D$26))),ROW()-ROW($E$2:$E$26)+1),COLUMN($D$2:$D$26),4)))</f>
        <v>Fallbesprechung bei Lokalrezidiv/ Metastasen</v>
      </c>
      <c r="Q4" s="159" t="str">
        <f t="array" aca="1" ref="Q4" ca="1">IF(ROW()-ROW($F$2:$F$26)+1&gt;ROWS($E$2:$E$26)-COUNTBLANK($E$2:$E$26),"",INDIRECT(ADDRESS(SMALL((IF($E$2:$E$26&gt;"",ROW($E$2:$E$26),ROW()+ROWS($E$2:$E$26))),ROW()-ROW($F$2:$F$26)+1),COLUMN($E$2:$E$26),4)))</f>
        <v>&lt; 70%</v>
      </c>
      <c r="R4" s="158" t="str">
        <f t="array" aca="1" ref="R4" ca="1">IF(ROW()-ROW($G$2:$G$26)+1&gt;ROWS($F$2:$F$26)-COUNTBLANK($F$2:$F$26),"",INDIRECT(ADDRESS(SMALL((IF($F$2:$F$26&gt;"",ROW($F$2:$F$26),ROW()+ROWS($F$2:$F$26))),ROW()-ROW($G$2:$G$26)+1),COLUMN($F$2:$F$26),4)))</f>
        <v>Derzeit keine Vorgaben</v>
      </c>
      <c r="S4" s="159" t="str">
        <f t="array" aca="1" ref="S4" ca="1">IF(ROW()-ROW($H$2:$H$26)+1&gt;ROWS($G$2:$G$26)-COUNTBLANK($G$2:$G$26),"",INDIRECT(ADDRESS(SMALL((IF($G$2:$G$26&lt;&gt;"",ROW($G$2:$G$26),ROW()+ROWS($G$2:$G$26))),ROW()-ROW($H$2:$H$26)+1),COLUMN($G$2:$G$26),4)))</f>
        <v>-----</v>
      </c>
      <c r="T4" s="157" t="str">
        <f t="array" aca="1" ref="T4" ca="1">IF(ROW()-ROW($I$2:$I$26)+1&gt;ROWS($H$2:$H$26)-COUNTBLANK($H$2:$H$26),"",INDIRECT(ADDRESS(SMALL((IF($H$2:$H$26&lt;&gt;"",ROW($H$2:$H$26),ROW()+ROWS($H$2:$H$26))),ROW()-ROW($I$2:$I$26)+1),COLUMN($H$2:$H$26),4)))</f>
        <v>-----</v>
      </c>
      <c r="U4" s="157" t="str">
        <f t="array" aca="1" ref="U4" ca="1">IF(ROW()-ROW($J$2:$J$26)+1&gt;ROWS($I$2:$I$26)-COUNTBLANK($I$2:$I$26),"",INDIRECT(ADDRESS(SMALL((IF($I$2:$I$26&lt;&gt;"",ROW($I$2:$I$26),ROW()+ROWS($I$2:$I$26))),ROW()-ROW($J$2:$J$26)+1),COLUMN($I$2:$I$26),4)))</f>
        <v>-----</v>
      </c>
      <c r="V4" s="159" t="str">
        <f t="array" aca="1" ref="V4" ca="1">IF(ROW()-ROW($K$2:$K$26)+1&gt;ROWS($J$2:$J$26)-COUNTBLANK($J$2:$J$26),"",INDIRECT(ADDRESS(SMALL((IF($J$2:$J$26&lt;&gt;"",ROW($J$2:$J$26),ROW()+ROWS($J$2:$J$26))),ROW()-ROW($K$2:$K$26)+1),COLUMN($J$2:$J$26),4)))</f>
        <v>n.d.</v>
      </c>
      <c r="W4" s="70" t="str">
        <f t="array" aca="1" ref="W4" ca="1">IF(ROW()-ROW($L$2:$L$26)+1&gt;ROWS($K$2:$K$26)-COUNTBLANK($K$2:$K$26),"",INDIRECT(ADDRESS(SMALL((IF($K$2:$K$26&lt;&gt;"",ROW($K$2:$K$26),ROW()+ROWS($K$2:$K$26))),ROW()-ROW($L$2:$L$26)+1),COLUMN($K$2:$K$26),4)))</f>
        <v>Unvollständig</v>
      </c>
      <c r="X4" s="162" t="str">
        <f t="array" aca="1" ref="X4" ca="1">IF(ROW()-ROW($M$2:$M$26)+1&gt;ROWS($L$2:$L$26)-COUNTBLANK($L$2:$L$26),"",INDIRECT(ADDRESS(SMALL((IF($L$2:$L$26&lt;&gt;"",ROW($L$2:$L$26),ROW()+ROWS($L$2:$L$26))),ROW()-ROW($M$2:$M$26)+1),COLUMN($L$2:$L$26),4)))</f>
        <v>-----</v>
      </c>
      <c r="Y4" s="162" t="str">
        <f t="array" aca="1" ref="Y4" ca="1">IF(ROW()-ROW($N$2:$N$26)+1&gt;ROWS($M$2:$M$26)-COUNTBLANK($M$2:$M$26),"",INDIRECT(ADDRESS(SMALL((IF($M$2:$M$26&lt;&gt;"",ROW($M$2:$M$26),ROW()+ROWS($M$2:$M$26))),ROW()-ROW($N$2:$N$26)+1),COLUMN($M$2:$M$26),4)))</f>
        <v>-----</v>
      </c>
    </row>
    <row r="5" spans="1:25" ht="22.5" customHeight="1" x14ac:dyDescent="0.25">
      <c r="A5" s="242" t="str">
        <f>IF('Kennzahlenbogen_(KB)'!P18=0,"",'Kennzahlenbogen_(KB)'!P18)</f>
        <v>Unvollständig</v>
      </c>
      <c r="C5" s="242" t="str">
        <f>IF($A5="I.O.","",'Kennzahlenbogen_(KB)'!A18)</f>
        <v>4</v>
      </c>
      <c r="D5" s="161" t="str">
        <f>IF($A5="I.O.","",'Kennzahlenbogen_(KB)'!C18)</f>
        <v xml:space="preserve">Strahlentherapie nach BET bei inv. Mammakarzinom
</v>
      </c>
      <c r="E5" s="159" t="str">
        <f>IF(AND('Kennzahlenbogen_(KB)'!J18="",$A5&lt;&gt;"I.O."),"-----",IF($A5="I.O.","",'Kennzahlenbogen_(KB)'!J18))</f>
        <v>-----</v>
      </c>
      <c r="F5" s="158" t="str">
        <f>IF($A5="I.O.","",'Kennzahlenbogen_(KB)'!K18)</f>
        <v>≥ 90%</v>
      </c>
      <c r="G5" s="159" t="str">
        <f>IF(AND('Kennzahlenbogen_(KB)'!M18="",$A5&lt;&gt;"I.O."),"-----",IF($A5="I.O.","",'Kennzahlenbogen_(KB)'!M18))</f>
        <v>-----</v>
      </c>
      <c r="H5" s="157" t="str">
        <f>IF($A5="I.O.","",IF('Kennzahlenbogen_(KB)'!O18="","-----",'Kennzahlenbogen_(KB)'!O18))</f>
        <v>-----</v>
      </c>
      <c r="I5" s="157">
        <f>IF($A5="I.O.","",IF('Kennzahlenbogen_(KB)'!O19="","-----",'Kennzahlenbogen_(KB)'!O19))</f>
        <v>0</v>
      </c>
      <c r="J5" s="156" t="str">
        <f>IF($A5="I.O.","",IF('Kennzahlenbogen_(KB)'!O20="",0,'Kennzahlenbogen_(KB)'!O20))</f>
        <v>n.d.</v>
      </c>
      <c r="K5" s="242" t="str">
        <f>IF($A5="I.O.","",'Kennzahlenbogen_(KB)'!P18)</f>
        <v>Unvollständig</v>
      </c>
      <c r="L5" s="162" t="str">
        <f>IF(AND('Kennzahlenbogen_(KB)'!Q18="",$A5&lt;&gt;"I.O."),"-----",IF($A5="I.O.","",'Kennzahlenbogen_(KB)'!Q18))</f>
        <v>-----</v>
      </c>
      <c r="M5" s="162" t="str">
        <f>IF(AND('Kennzahlenbogen_(KB)'!R18="",$A5&lt;&gt;"I.O."),"-----",IF($A5="I.O.","",'Kennzahlenbogen_(KB)'!R18))</f>
        <v>-----</v>
      </c>
      <c r="O5" s="242" t="str">
        <f t="array" aca="1" ref="O5" ca="1">IF(ROW()-ROW($D$2:$D$26)+1&gt;ROWS($C$2:$C$26)-COUNTBLANK($C$2:$C$26),"",INDIRECT(ADDRESS(SMALL((IF($C$2:$C$26&lt;&gt;"",ROW($C$2:$C$26),ROW()+ROWS($C$2:$C$26))),ROW()-ROW($D$2:$D$26)+1),COLUMN($C$2:$C$26),4)))</f>
        <v>4</v>
      </c>
      <c r="P5" s="162" t="str">
        <f t="array" aca="1" ref="P5" ca="1">IF(ROW()-ROW($E$2:$E$26)+1&gt;ROWS($D$2:$D$26)-COUNTBLANK($D$2:$D$26),"",INDIRECT(ADDRESS(SMALL((IF($D$2:$D$26&gt;"",ROW($D$2:$D$26),ROW()+ROWS($D$2:$D$26))),ROW()-ROW($E$2:$E$26)+1),COLUMN($D$2:$D$26),4)))</f>
        <v xml:space="preserve">Strahlentherapie nach BET bei inv. Mammakarzinom
</v>
      </c>
      <c r="Q5" s="159" t="str">
        <f t="array" aca="1" ref="Q5" ca="1">IF(ROW()-ROW($F$2:$F$26)+1&gt;ROWS($E$2:$E$26)-COUNTBLANK($E$2:$E$26),"",INDIRECT(ADDRESS(SMALL((IF($E$2:$E$26&gt;"",ROW($E$2:$E$26),ROW()+ROWS($E$2:$E$26))),ROW()-ROW($F$2:$F$26)+1),COLUMN($E$2:$E$26),4)))</f>
        <v>-----</v>
      </c>
      <c r="R5" s="158" t="str">
        <f t="array" aca="1" ref="R5" ca="1">IF(ROW()-ROW($G$2:$G$26)+1&gt;ROWS($F$2:$F$26)-COUNTBLANK($F$2:$F$26),"",INDIRECT(ADDRESS(SMALL((IF($F$2:$F$26&gt;"",ROW($F$2:$F$26),ROW()+ROWS($F$2:$F$26))),ROW()-ROW($G$2:$G$26)+1),COLUMN($F$2:$F$26),4)))</f>
        <v>≥ 90%</v>
      </c>
      <c r="S5" s="159" t="str">
        <f t="array" aca="1" ref="S5" ca="1">IF(ROW()-ROW($H$2:$H$26)+1&gt;ROWS($G$2:$G$26)-COUNTBLANK($G$2:$G$26),"",INDIRECT(ADDRESS(SMALL((IF($G$2:$G$26&lt;&gt;"",ROW($G$2:$G$26),ROW()+ROWS($G$2:$G$26))),ROW()-ROW($H$2:$H$26)+1),COLUMN($G$2:$G$26),4)))</f>
        <v>-----</v>
      </c>
      <c r="T5" s="157" t="str">
        <f t="array" aca="1" ref="T5" ca="1">IF(ROW()-ROW($I$2:$I$26)+1&gt;ROWS($H$2:$H$26)-COUNTBLANK($H$2:$H$26),"",INDIRECT(ADDRESS(SMALL((IF($H$2:$H$26&lt;&gt;"",ROW($H$2:$H$26),ROW()+ROWS($H$2:$H$26))),ROW()-ROW($I$2:$I$26)+1),COLUMN($H$2:$H$26),4)))</f>
        <v>-----</v>
      </c>
      <c r="U5" s="157">
        <f t="array" aca="1" ref="U5" ca="1">IF(ROW()-ROW($J$2:$J$26)+1&gt;ROWS($I$2:$I$26)-COUNTBLANK($I$2:$I$26),"",INDIRECT(ADDRESS(SMALL((IF($I$2:$I$26&lt;&gt;"",ROW($I$2:$I$26),ROW()+ROWS($I$2:$I$26))),ROW()-ROW($J$2:$J$26)+1),COLUMN($I$2:$I$26),4)))</f>
        <v>0</v>
      </c>
      <c r="V5" s="159" t="str">
        <f t="array" aca="1" ref="V5" ca="1">IF(ROW()-ROW($K$2:$K$26)+1&gt;ROWS($J$2:$J$26)-COUNTBLANK($J$2:$J$26),"",INDIRECT(ADDRESS(SMALL((IF($J$2:$J$26&lt;&gt;"",ROW($J$2:$J$26),ROW()+ROWS($J$2:$J$26))),ROW()-ROW($K$2:$K$26)+1),COLUMN($J$2:$J$26),4)))</f>
        <v>n.d.</v>
      </c>
      <c r="W5" s="70" t="str">
        <f t="array" aca="1" ref="W5" ca="1">IF(ROW()-ROW($L$2:$L$26)+1&gt;ROWS($K$2:$K$26)-COUNTBLANK($K$2:$K$26),"",INDIRECT(ADDRESS(SMALL((IF($K$2:$K$26&lt;&gt;"",ROW($K$2:$K$26),ROW()+ROWS($K$2:$K$26))),ROW()-ROW($L$2:$L$26)+1),COLUMN($K$2:$K$26),4)))</f>
        <v>Unvollständig</v>
      </c>
      <c r="X5" s="162" t="str">
        <f t="array" aca="1" ref="X5" ca="1">IF(ROW()-ROW($M$2:$M$26)+1&gt;ROWS($L$2:$L$26)-COUNTBLANK($L$2:$L$26),"",INDIRECT(ADDRESS(SMALL((IF($L$2:$L$26&lt;&gt;"",ROW($L$2:$L$26),ROW()+ROWS($L$2:$L$26))),ROW()-ROW($M$2:$M$26)+1),COLUMN($L$2:$L$26),4)))</f>
        <v>-----</v>
      </c>
      <c r="Y5" s="162" t="str">
        <f t="array" aca="1" ref="Y5" ca="1">IF(ROW()-ROW($N$2:$N$26)+1&gt;ROWS($M$2:$M$26)-COUNTBLANK($M$2:$M$26),"",INDIRECT(ADDRESS(SMALL((IF($M$2:$M$26&lt;&gt;"",ROW($M$2:$M$26),ROW()+ROWS($M$2:$M$26))),ROW()-ROW($N$2:$N$26)+1),COLUMN($M$2:$M$26),4)))</f>
        <v>-----</v>
      </c>
    </row>
    <row r="6" spans="1:25" ht="22.5" customHeight="1" x14ac:dyDescent="0.25">
      <c r="A6" s="242" t="str">
        <f>IF('Kennzahlenbogen_(KB)'!P21=0,"",'Kennzahlenbogen_(KB)'!P21)</f>
        <v>Unvollständig</v>
      </c>
      <c r="C6" s="345" t="str">
        <f>IF($A6="I.O.","",'Kennzahlenbogen_(KB)'!A21)</f>
        <v>5</v>
      </c>
      <c r="D6" s="390" t="str">
        <f>IF($A6="I.O.","",'Kennzahlenbogen_(KB)'!C21)</f>
        <v xml:space="preserve">Strahlentherapie nach BET bei DCIS
</v>
      </c>
      <c r="E6" s="391" t="str">
        <f>IF(AND('Kennzahlenbogen_(KB)'!J21="",$A6&lt;&gt;"I.O."),"-----",IF($A6="I.O.","",'Kennzahlenbogen_(KB)'!J21))</f>
        <v>&lt; 80%</v>
      </c>
      <c r="F6" s="392" t="str">
        <f>IF($A6="I.O.","",'Kennzahlenbogen_(KB)'!K21)</f>
        <v xml:space="preserve">
Derzeit keine Vorgaben</v>
      </c>
      <c r="G6" s="391" t="str">
        <f>IF(AND('Kennzahlenbogen_(KB)'!M21="",$A6&lt;&gt;"I.O."),"-----",IF($A6="I.O.","",'Kennzahlenbogen_(KB)'!M21))</f>
        <v>-----</v>
      </c>
      <c r="H6" s="393" t="str">
        <f>IF($A6="I.O.","",IF('Kennzahlenbogen_(KB)'!O21="","-----",'Kennzahlenbogen_(KB)'!O21))</f>
        <v>-----</v>
      </c>
      <c r="I6" s="393" t="str">
        <f>IF($A6="I.O.","",IF('Kennzahlenbogen_(KB)'!O22="","-----",'Kennzahlenbogen_(KB)'!O22))</f>
        <v>-----</v>
      </c>
      <c r="J6" s="394" t="str">
        <f>IF($A6="I.O.","",IF('Kennzahlenbogen_(KB)'!O23="","-----",'Kennzahlenbogen_(KB)'!O23))</f>
        <v>n.d.</v>
      </c>
      <c r="K6" s="345" t="str">
        <f>IF($A6="I.O.","",'Kennzahlenbogen_(KB)'!P21)</f>
        <v>Unvollständig</v>
      </c>
      <c r="L6" s="395" t="str">
        <f>IF(AND('Kennzahlenbogen_(KB)'!Q21="",$A6&lt;&gt;"I.O."),"-----",IF($A6="I.O.","",'Kennzahlenbogen_(KB)'!Q21))</f>
        <v>-----</v>
      </c>
      <c r="M6" s="395" t="str">
        <f>IF(AND('Kennzahlenbogen_(KB)'!R21="",$A6&lt;&gt;"I.O."),"-----",IF($A6="I.O.","",'Kennzahlenbogen_(KB)'!R21))</f>
        <v>-----</v>
      </c>
      <c r="O6" s="242" t="str">
        <f t="array" aca="1" ref="O6" ca="1">IF(ROW()-ROW($D$2:$D$26)+1&gt;ROWS($C$2:$C$26)-COUNTBLANK($C$2:$C$26),"",INDIRECT(ADDRESS(SMALL((IF($C$2:$C$26&lt;&gt;"",ROW($C$2:$C$26),ROW()+ROWS($C$2:$C$26))),ROW()-ROW($D$2:$D$26)+1),COLUMN($C$2:$C$26),4)))</f>
        <v>5</v>
      </c>
      <c r="P6" s="162" t="str">
        <f t="array" aca="1" ref="P6" ca="1">IF(ROW()-ROW($E$2:$E$26)+1&gt;ROWS($D$2:$D$26)-COUNTBLANK($D$2:$D$26),"",INDIRECT(ADDRESS(SMALL((IF($D$2:$D$26&gt;"",ROW($D$2:$D$26),ROW()+ROWS($D$2:$D$26))),ROW()-ROW($E$2:$E$26)+1),COLUMN($D$2:$D$26),4)))</f>
        <v xml:space="preserve">Strahlentherapie nach BET bei DCIS
</v>
      </c>
      <c r="Q6" s="159" t="str">
        <f t="array" aca="1" ref="Q6" ca="1">IF(ROW()-ROW($F$2:$F$26)+1&gt;ROWS($E$2:$E$26)-COUNTBLANK($E$2:$E$26),"",INDIRECT(ADDRESS(SMALL((IF($E$2:$E$26&gt;"",ROW($E$2:$E$26),ROW()+ROWS($E$2:$E$26))),ROW()-ROW($F$2:$F$26)+1),COLUMN($E$2:$E$26),4)))</f>
        <v>&lt; 80%</v>
      </c>
      <c r="R6" s="158" t="str">
        <f t="array" aca="1" ref="R6" ca="1">IF(ROW()-ROW($G$2:$G$26)+1&gt;ROWS($F$2:$F$26)-COUNTBLANK($F$2:$F$26),"",INDIRECT(ADDRESS(SMALL((IF($F$2:$F$26&gt;"",ROW($F$2:$F$26),ROW()+ROWS($F$2:$F$26))),ROW()-ROW($G$2:$G$26)+1),COLUMN($F$2:$F$26),4)))</f>
        <v xml:space="preserve">
Derzeit keine Vorgaben</v>
      </c>
      <c r="S6" s="159" t="str">
        <f t="array" aca="1" ref="S6" ca="1">IF(ROW()-ROW($H$2:$H$26)+1&gt;ROWS($G$2:$G$26)-COUNTBLANK($G$2:$G$26),"",INDIRECT(ADDRESS(SMALL((IF($G$2:$G$26&lt;&gt;"",ROW($G$2:$G$26),ROW()+ROWS($G$2:$G$26))),ROW()-ROW($H$2:$H$26)+1),COLUMN($G$2:$G$26),4)))</f>
        <v>-----</v>
      </c>
      <c r="T6" s="157" t="str">
        <f t="array" aca="1" ref="T6" ca="1">IF(ROW()-ROW($I$2:$I$26)+1&gt;ROWS($H$2:$H$26)-COUNTBLANK($H$2:$H$26),"",INDIRECT(ADDRESS(SMALL((IF($H$2:$H$26&lt;&gt;"",ROW($H$2:$H$26),ROW()+ROWS($H$2:$H$26))),ROW()-ROW($I$2:$I$26)+1),COLUMN($H$2:$H$26),4)))</f>
        <v>-----</v>
      </c>
      <c r="U6" s="157" t="str">
        <f t="array" aca="1" ref="U6" ca="1">IF(ROW()-ROW($J$2:$J$26)+1&gt;ROWS($I$2:$I$26)-COUNTBLANK($I$2:$I$26),"",INDIRECT(ADDRESS(SMALL((IF($I$2:$I$26&lt;&gt;"",ROW($I$2:$I$26),ROW()+ROWS($I$2:$I$26))),ROW()-ROW($J$2:$J$26)+1),COLUMN($I$2:$I$26),4)))</f>
        <v>-----</v>
      </c>
      <c r="V6" s="159" t="str">
        <f t="array" aca="1" ref="V6" ca="1">IF(ROW()-ROW($K$2:$K$26)+1&gt;ROWS($J$2:$J$26)-COUNTBLANK($J$2:$J$26),"",INDIRECT(ADDRESS(SMALL((IF($J$2:$J$26&lt;&gt;"",ROW($J$2:$J$26),ROW()+ROWS($J$2:$J$26))),ROW()-ROW($K$2:$K$26)+1),COLUMN($J$2:$J$26),4)))</f>
        <v>n.d.</v>
      </c>
      <c r="W6" s="70" t="str">
        <f t="array" aca="1" ref="W6" ca="1">IF(ROW()-ROW($L$2:$L$26)+1&gt;ROWS($K$2:$K$26)-COUNTBLANK($K$2:$K$26),"",INDIRECT(ADDRESS(SMALL((IF($K$2:$K$26&lt;&gt;"",ROW($K$2:$K$26),ROW()+ROWS($K$2:$K$26))),ROW()-ROW($L$2:$L$26)+1),COLUMN($K$2:$K$26),4)))</f>
        <v>Unvollständig</v>
      </c>
      <c r="X6" s="162" t="str">
        <f t="array" aca="1" ref="X6" ca="1">IF(ROW()-ROW($M$2:$M$26)+1&gt;ROWS($L$2:$L$26)-COUNTBLANK($L$2:$L$26),"",INDIRECT(ADDRESS(SMALL((IF($L$2:$L$26&lt;&gt;"",ROW($L$2:$L$26),ROW()+ROWS($L$2:$L$26))),ROW()-ROW($M$2:$M$26)+1),COLUMN($L$2:$L$26),4)))</f>
        <v>-----</v>
      </c>
      <c r="Y6" s="162" t="str">
        <f t="array" aca="1" ref="Y6" ca="1">IF(ROW()-ROW($N$2:$N$26)+1&gt;ROWS($M$2:$M$26)-COUNTBLANK($M$2:$M$26),"",INDIRECT(ADDRESS(SMALL((IF($M$2:$M$26&lt;&gt;"",ROW($M$2:$M$26),ROW()+ROWS($M$2:$M$26))),ROW()-ROW($N$2:$N$26)+1),COLUMN($M$2:$M$26),4)))</f>
        <v>-----</v>
      </c>
    </row>
    <row r="7" spans="1:25" ht="22.5" customHeight="1" x14ac:dyDescent="0.25">
      <c r="A7" s="242" t="str">
        <f>IF('Kennzahlenbogen_(KB)'!P24=0,"",'Kennzahlenbogen_(KB)'!P24)</f>
        <v>Unvollständig</v>
      </c>
      <c r="C7" s="242">
        <f>IF($A7="I.O.","",'Kennzahlenbogen_(KB)'!A24)</f>
        <v>6</v>
      </c>
      <c r="D7" s="161" t="str">
        <f>IF($A7="I.O.","",'Kennzahlenbogen_(KB)'!C24)</f>
        <v xml:space="preserve">Chemotherapie bei rez. pos. und nodalpos. Befund1  </v>
      </c>
      <c r="E7" s="159" t="str">
        <f>IF(AND('Kennzahlenbogen_(KB)'!J24="",$A7&lt;&gt;"I.O."),"-----",IF($A7="I.O.","",'Kennzahlenbogen_(KB)'!J24))</f>
        <v>&lt; 60%</v>
      </c>
      <c r="F7" s="158" t="str">
        <f>IF($A7="I.O.","",'Kennzahlenbogen_(KB)'!K24)</f>
        <v>Derzeit keine Vorgaben</v>
      </c>
      <c r="G7" s="159" t="str">
        <f>IF(AND('Kennzahlenbogen_(KB)'!M24="",$A7&lt;&gt;"I.O."),"-----",IF($A7="I.O.","",'Kennzahlenbogen_(KB)'!M24))</f>
        <v>-----</v>
      </c>
      <c r="H7" s="157" t="str">
        <f>IF($A7="I.O.","",IF('Kennzahlenbogen_(KB)'!O24="","-----",'Kennzahlenbogen_(KB)'!O24))</f>
        <v>-----</v>
      </c>
      <c r="I7" s="157" t="str">
        <f>IF($A7="I.O.","",IF('Kennzahlenbogen_(KB)'!O25="","-----",'Kennzahlenbogen_(KB)'!O25))</f>
        <v>-----</v>
      </c>
      <c r="J7" s="156" t="str">
        <f>IF($A7="I.O.","",IF('Kennzahlenbogen_(KB)'!O26="",0,'Kennzahlenbogen_(KB)'!O26))</f>
        <v>n.d.</v>
      </c>
      <c r="K7" s="242" t="str">
        <f>IF($A7="I.O.","",'Kennzahlenbogen_(KB)'!P24)</f>
        <v>Unvollständig</v>
      </c>
      <c r="L7" s="162" t="str">
        <f>IF(AND('Kennzahlenbogen_(KB)'!Q24="",$A7&lt;&gt;"I.O."),"-----",IF($A7="I.O.","",'Kennzahlenbogen_(KB)'!Q24))</f>
        <v>-----</v>
      </c>
      <c r="M7" s="162" t="str">
        <f>IF(AND('Kennzahlenbogen_(KB)'!R24="",$A7&lt;&gt;"I.O."),"-----",IF($A7="I.O.","",'Kennzahlenbogen_(KB)'!R24))</f>
        <v>-----</v>
      </c>
      <c r="O7" s="242">
        <f t="array" aca="1" ref="O7" ca="1">IF(ROW()-ROW($D$2:$D$26)+1&gt;ROWS($C$2:$C$26)-COUNTBLANK($C$2:$C$26),"",INDIRECT(ADDRESS(SMALL((IF($C$2:$C$26&lt;&gt;"",ROW($C$2:$C$26),ROW()+ROWS($C$2:$C$26))),ROW()-ROW($D$2:$D$26)+1),COLUMN($C$2:$C$26),4)))</f>
        <v>6</v>
      </c>
      <c r="P7" s="162" t="str">
        <f t="array" aca="1" ref="P7" ca="1">IF(ROW()-ROW($E$2:$E$26)+1&gt;ROWS($D$2:$D$26)-COUNTBLANK($D$2:$D$26),"",INDIRECT(ADDRESS(SMALL((IF($D$2:$D$26&gt;"",ROW($D$2:$D$26),ROW()+ROWS($D$2:$D$26))),ROW()-ROW($E$2:$E$26)+1),COLUMN($D$2:$D$26),4)))</f>
        <v xml:space="preserve">Chemotherapie bei rez. pos. und nodalpos. Befund1  </v>
      </c>
      <c r="Q7" s="159" t="str">
        <f t="array" aca="1" ref="Q7" ca="1">IF(ROW()-ROW($F$2:$F$26)+1&gt;ROWS($E$2:$E$26)-COUNTBLANK($E$2:$E$26),"",INDIRECT(ADDRESS(SMALL((IF($E$2:$E$26&gt;"",ROW($E$2:$E$26),ROW()+ROWS($E$2:$E$26))),ROW()-ROW($F$2:$F$26)+1),COLUMN($E$2:$E$26),4)))</f>
        <v>&lt; 60%</v>
      </c>
      <c r="R7" s="158" t="str">
        <f t="array" aca="1" ref="R7" ca="1">IF(ROW()-ROW($G$2:$G$26)+1&gt;ROWS($F$2:$F$26)-COUNTBLANK($F$2:$F$26),"",INDIRECT(ADDRESS(SMALL((IF($F$2:$F$26&gt;"",ROW($F$2:$F$26),ROW()+ROWS($F$2:$F$26))),ROW()-ROW($G$2:$G$26)+1),COLUMN($F$2:$F$26),4)))</f>
        <v>Derzeit keine Vorgaben</v>
      </c>
      <c r="S7" s="159" t="str">
        <f t="array" aca="1" ref="S7" ca="1">IF(ROW()-ROW($H$2:$H$26)+1&gt;ROWS($G$2:$G$26)-COUNTBLANK($G$2:$G$26),"",INDIRECT(ADDRESS(SMALL((IF($G$2:$G$26&lt;&gt;"",ROW($G$2:$G$26),ROW()+ROWS($G$2:$G$26))),ROW()-ROW($H$2:$H$26)+1),COLUMN($G$2:$G$26),4)))</f>
        <v>-----</v>
      </c>
      <c r="T7" s="157" t="str">
        <f t="array" aca="1" ref="T7" ca="1">IF(ROW()-ROW($I$2:$I$26)+1&gt;ROWS($H$2:$H$26)-COUNTBLANK($H$2:$H$26),"",INDIRECT(ADDRESS(SMALL((IF($H$2:$H$26&lt;&gt;"",ROW($H$2:$H$26),ROW()+ROWS($H$2:$H$26))),ROW()-ROW($I$2:$I$26)+1),COLUMN($H$2:$H$26),4)))</f>
        <v>-----</v>
      </c>
      <c r="U7" s="157" t="str">
        <f t="array" aca="1" ref="U7" ca="1">IF(ROW()-ROW($J$2:$J$26)+1&gt;ROWS($I$2:$I$26)-COUNTBLANK($I$2:$I$26),"",INDIRECT(ADDRESS(SMALL((IF($I$2:$I$26&lt;&gt;"",ROW($I$2:$I$26),ROW()+ROWS($I$2:$I$26))),ROW()-ROW($J$2:$J$26)+1),COLUMN($I$2:$I$26),4)))</f>
        <v>-----</v>
      </c>
      <c r="V7" s="159" t="str">
        <f t="array" aca="1" ref="V7" ca="1">IF(ROW()-ROW($K$2:$K$26)+1&gt;ROWS($J$2:$J$26)-COUNTBLANK($J$2:$J$26),"",INDIRECT(ADDRESS(SMALL((IF($J$2:$J$26&lt;&gt;"",ROW($J$2:$J$26),ROW()+ROWS($J$2:$J$26))),ROW()-ROW($K$2:$K$26)+1),COLUMN($J$2:$J$26),4)))</f>
        <v>n.d.</v>
      </c>
      <c r="W7" s="70" t="str">
        <f t="array" aca="1" ref="W7" ca="1">IF(ROW()-ROW($L$2:$L$26)+1&gt;ROWS($K$2:$K$26)-COUNTBLANK($K$2:$K$26),"",INDIRECT(ADDRESS(SMALL((IF($K$2:$K$26&lt;&gt;"",ROW($K$2:$K$26),ROW()+ROWS($K$2:$K$26))),ROW()-ROW($L$2:$L$26)+1),COLUMN($K$2:$K$26),4)))</f>
        <v>Unvollständig</v>
      </c>
      <c r="X7" s="162" t="str">
        <f t="array" aca="1" ref="X7" ca="1">IF(ROW()-ROW($M$2:$M$26)+1&gt;ROWS($L$2:$L$26)-COUNTBLANK($L$2:$L$26),"",INDIRECT(ADDRESS(SMALL((IF($L$2:$L$26&lt;&gt;"",ROW($L$2:$L$26),ROW()+ROWS($L$2:$L$26))),ROW()-ROW($M$2:$M$26)+1),COLUMN($L$2:$L$26),4)))</f>
        <v>-----</v>
      </c>
      <c r="Y7" s="162" t="str">
        <f t="array" aca="1" ref="Y7" ca="1">IF(ROW()-ROW($N$2:$N$26)+1&gt;ROWS($M$2:$M$26)-COUNTBLANK($M$2:$M$26),"",INDIRECT(ADDRESS(SMALL((IF($M$2:$M$26&lt;&gt;"",ROW($M$2:$M$26),ROW()+ROWS($M$2:$M$26))),ROW()-ROW($N$2:$N$26)+1),COLUMN($M$2:$M$26),4)))</f>
        <v>-----</v>
      </c>
    </row>
    <row r="8" spans="1:25" ht="22.5" customHeight="1" x14ac:dyDescent="0.25">
      <c r="A8" s="242" t="str">
        <f>IF('Kennzahlenbogen_(KB)'!P27=0,"",'Kennzahlenbogen_(KB)'!P27)</f>
        <v>Unvollständig</v>
      </c>
      <c r="C8" s="242">
        <f>IF($A8="I.O.","",'Kennzahlenbogen_(KB)'!A27)</f>
        <v>7</v>
      </c>
      <c r="D8" s="161" t="str">
        <f>IF($A8="I.O.","",'Kennzahlenbogen_(KB)'!C27)</f>
        <v>Endokrine Therapie bei steroidrez. positivem Befund1</v>
      </c>
      <c r="E8" s="159" t="str">
        <f>IF(AND('Kennzahlenbogen_(KB)'!J27="",$A8&lt;&gt;"I.O."),"-----",IF($A8="I.O.","",'Kennzahlenbogen_(KB)'!J27))</f>
        <v>-----</v>
      </c>
      <c r="F8" s="158" t="str">
        <f>IF($A8="I.O.","",'Kennzahlenbogen_(KB)'!K27)</f>
        <v>≥ 95%</v>
      </c>
      <c r="G8" s="159" t="str">
        <f>IF(AND('Kennzahlenbogen_(KB)'!M27="",$A8&lt;&gt;"I.O."),"-----",IF($A8="I.O.","",'Kennzahlenbogen_(KB)'!M27))</f>
        <v>-----</v>
      </c>
      <c r="H8" s="157" t="str">
        <f>IF($A8="I.O.","",IF('Kennzahlenbogen_(KB)'!O27="","-----",'Kennzahlenbogen_(KB)'!O27))</f>
        <v>-----</v>
      </c>
      <c r="I8" s="157" t="str">
        <f>IF($A8="I.O.","",IF('Kennzahlenbogen_(KB)'!O28="","-----",'Kennzahlenbogen_(KB)'!O28))</f>
        <v>-----</v>
      </c>
      <c r="J8" s="156" t="str">
        <f>IF($A8="I.O.","",IF('Kennzahlenbogen_(KB)'!O29="",0,'Kennzahlenbogen_(KB)'!O29))</f>
        <v>n.d.</v>
      </c>
      <c r="K8" s="242" t="str">
        <f>IF($A8="I.O.","",'Kennzahlenbogen_(KB)'!P27)</f>
        <v>Unvollständig</v>
      </c>
      <c r="L8" s="162" t="str">
        <f>IF(AND('Kennzahlenbogen_(KB)'!Q27="",$A8&lt;&gt;"I.O."),"-----",IF($A8="I.O.","",'Kennzahlenbogen_(KB)'!Q27))</f>
        <v>-----</v>
      </c>
      <c r="M8" s="162" t="str">
        <f>IF(AND('Kennzahlenbogen_(KB)'!R27="",$A8&lt;&gt;"I.O."),"-----",IF($A8="I.O.","",'Kennzahlenbogen_(KB)'!R27))</f>
        <v>-----</v>
      </c>
      <c r="O8" s="242">
        <f t="array" aca="1" ref="O8" ca="1">IF(ROW()-ROW($D$2:$D$26)+1&gt;ROWS($C$2:$C$26)-COUNTBLANK($C$2:$C$26),"",INDIRECT(ADDRESS(SMALL((IF($C$2:$C$26&lt;&gt;"",ROW($C$2:$C$26),ROW()+ROWS($C$2:$C$26))),ROW()-ROW($D$2:$D$26)+1),COLUMN($C$2:$C$26),4)))</f>
        <v>7</v>
      </c>
      <c r="P8" s="162" t="str">
        <f t="array" aca="1" ref="P8" ca="1">IF(ROW()-ROW($E$2:$E$26)+1&gt;ROWS($D$2:$D$26)-COUNTBLANK($D$2:$D$26),"",INDIRECT(ADDRESS(SMALL((IF($D$2:$D$26&gt;"",ROW($D$2:$D$26),ROW()+ROWS($D$2:$D$26))),ROW()-ROW($E$2:$E$26)+1),COLUMN($D$2:$D$26),4)))</f>
        <v>Endokrine Therapie bei steroidrez. positivem Befund1</v>
      </c>
      <c r="Q8" s="159" t="str">
        <f t="array" aca="1" ref="Q8" ca="1">IF(ROW()-ROW($F$2:$F$26)+1&gt;ROWS($E$2:$E$26)-COUNTBLANK($E$2:$E$26),"",INDIRECT(ADDRESS(SMALL((IF($E$2:$E$26&gt;"",ROW($E$2:$E$26),ROW()+ROWS($E$2:$E$26))),ROW()-ROW($F$2:$F$26)+1),COLUMN($E$2:$E$26),4)))</f>
        <v>-----</v>
      </c>
      <c r="R8" s="158" t="str">
        <f t="array" aca="1" ref="R8" ca="1">IF(ROW()-ROW($G$2:$G$26)+1&gt;ROWS($F$2:$F$26)-COUNTBLANK($F$2:$F$26),"",INDIRECT(ADDRESS(SMALL((IF($F$2:$F$26&gt;"",ROW($F$2:$F$26),ROW()+ROWS($F$2:$F$26))),ROW()-ROW($G$2:$G$26)+1),COLUMN($F$2:$F$26),4)))</f>
        <v>≥ 95%</v>
      </c>
      <c r="S8" s="159" t="str">
        <f t="array" aca="1" ref="S8" ca="1">IF(ROW()-ROW($H$2:$H$26)+1&gt;ROWS($G$2:$G$26)-COUNTBLANK($G$2:$G$26),"",INDIRECT(ADDRESS(SMALL((IF($G$2:$G$26&lt;&gt;"",ROW($G$2:$G$26),ROW()+ROWS($G$2:$G$26))),ROW()-ROW($H$2:$H$26)+1),COLUMN($G$2:$G$26),4)))</f>
        <v>-----</v>
      </c>
      <c r="T8" s="157" t="str">
        <f t="array" aca="1" ref="T8" ca="1">IF(ROW()-ROW($I$2:$I$26)+1&gt;ROWS($H$2:$H$26)-COUNTBLANK($H$2:$H$26),"",INDIRECT(ADDRESS(SMALL((IF($H$2:$H$26&lt;&gt;"",ROW($H$2:$H$26),ROW()+ROWS($H$2:$H$26))),ROW()-ROW($I$2:$I$26)+1),COLUMN($H$2:$H$26),4)))</f>
        <v>-----</v>
      </c>
      <c r="U8" s="157" t="str">
        <f t="array" aca="1" ref="U8" ca="1">IF(ROW()-ROW($J$2:$J$26)+1&gt;ROWS($I$2:$I$26)-COUNTBLANK($I$2:$I$26),"",INDIRECT(ADDRESS(SMALL((IF($I$2:$I$26&lt;&gt;"",ROW($I$2:$I$26),ROW()+ROWS($I$2:$I$26))),ROW()-ROW($J$2:$J$26)+1),COLUMN($I$2:$I$26),4)))</f>
        <v>-----</v>
      </c>
      <c r="V8" s="159" t="str">
        <f t="array" aca="1" ref="V8" ca="1">IF(ROW()-ROW($K$2:$K$26)+1&gt;ROWS($J$2:$J$26)-COUNTBLANK($J$2:$J$26),"",INDIRECT(ADDRESS(SMALL((IF($J$2:$J$26&lt;&gt;"",ROW($J$2:$J$26),ROW()+ROWS($J$2:$J$26))),ROW()-ROW($K$2:$K$26)+1),COLUMN($J$2:$J$26),4)))</f>
        <v>n.d.</v>
      </c>
      <c r="W8" s="70" t="str">
        <f t="array" aca="1" ref="W8" ca="1">IF(ROW()-ROW($L$2:$L$26)+1&gt;ROWS($K$2:$K$26)-COUNTBLANK($K$2:$K$26),"",INDIRECT(ADDRESS(SMALL((IF($K$2:$K$26&lt;&gt;"",ROW($K$2:$K$26),ROW()+ROWS($K$2:$K$26))),ROW()-ROW($L$2:$L$26)+1),COLUMN($K$2:$K$26),4)))</f>
        <v>Unvollständig</v>
      </c>
      <c r="X8" s="162" t="str">
        <f t="array" aca="1" ref="X8" ca="1">IF(ROW()-ROW($M$2:$M$26)+1&gt;ROWS($L$2:$L$26)-COUNTBLANK($L$2:$L$26),"",INDIRECT(ADDRESS(SMALL((IF($L$2:$L$26&lt;&gt;"",ROW($L$2:$L$26),ROW()+ROWS($L$2:$L$26))),ROW()-ROW($M$2:$M$26)+1),COLUMN($L$2:$L$26),4)))</f>
        <v>-----</v>
      </c>
      <c r="Y8" s="162" t="str">
        <f t="array" aca="1" ref="Y8" ca="1">IF(ROW()-ROW($N$2:$N$26)+1&gt;ROWS($M$2:$M$26)-COUNTBLANK($M$2:$M$26),"",INDIRECT(ADDRESS(SMALL((IF($M$2:$M$26&lt;&gt;"",ROW($M$2:$M$26),ROW()+ROWS($M$2:$M$26))),ROW()-ROW($N$2:$N$26)+1),COLUMN($M$2:$M$26),4)))</f>
        <v>-----</v>
      </c>
    </row>
    <row r="9" spans="1:25" ht="22.5" customHeight="1" x14ac:dyDescent="0.25">
      <c r="A9" s="242" t="str">
        <f>IF('Kennzahlenbogen_(KB)'!P30=0,"",'Kennzahlenbogen_(KB)'!P30)</f>
        <v>Unvollständig</v>
      </c>
      <c r="C9" s="345">
        <f>IF($A9="I.O.","",'Kennzahlenbogen_(KB)'!A30)</f>
        <v>8</v>
      </c>
      <c r="D9" s="390" t="str">
        <f>IF($A9="I.O.","",'Kennzahlenbogen_(KB)'!C30)</f>
        <v xml:space="preserve">Trastuzumabtherapie über 1 Jahr bei HER-2 pos. Befund </v>
      </c>
      <c r="E9" s="391" t="str">
        <f>IF(AND('Kennzahlenbogen_(KB)'!J30="",$A9&lt;&gt;"I.O."),"-----",IF($A9="I.O.","",'Kennzahlenbogen_(KB)'!J30))</f>
        <v>-----</v>
      </c>
      <c r="F9" s="392" t="str">
        <f>IF($A9="I.O.","",'Kennzahlenbogen_(KB)'!K30)</f>
        <v>≥ 95%</v>
      </c>
      <c r="G9" s="391" t="str">
        <f>IF(AND('Kennzahlenbogen_(KB)'!M30="",$A9&lt;&gt;"I.O."),"-----",IF($A9="I.O.","",'Kennzahlenbogen_(KB)'!M30))</f>
        <v>-----</v>
      </c>
      <c r="H9" s="393" t="str">
        <f>IF($A9="I.O.","",IF('Kennzahlenbogen_(KB)'!O30="","-----",'Kennzahlenbogen_(KB)'!O30))</f>
        <v>-----</v>
      </c>
      <c r="I9" s="393" t="str">
        <f>IF($A9="I.O.","",IF('Kennzahlenbogen_(KB)'!O31="","-----",'Kennzahlenbogen_(KB)'!O31))</f>
        <v>-----</v>
      </c>
      <c r="J9" s="394" t="str">
        <f>IF($A9="I.O.","",IF('Kennzahlenbogen_(KB)'!O32="","-----",'Kennzahlenbogen_(KB)'!O32))</f>
        <v>n.d.</v>
      </c>
      <c r="K9" s="345" t="str">
        <f>IF($A9="I.O.","",'Kennzahlenbogen_(KB)'!P30)</f>
        <v>Unvollständig</v>
      </c>
      <c r="L9" s="395" t="str">
        <f>IF(AND('Kennzahlenbogen_(KB)'!Q30="",$A9&lt;&gt;"I.O."),"-----",IF($A9="I.O.","",'Kennzahlenbogen_(KB)'!Q30))</f>
        <v>-----</v>
      </c>
      <c r="M9" s="395" t="str">
        <f>IF(AND('Kennzahlenbogen_(KB)'!R30="",$A9&lt;&gt;"I.O."),"-----",IF($A9="I.O.","",'Kennzahlenbogen_(KB)'!R30))</f>
        <v>-----</v>
      </c>
      <c r="O9" s="242">
        <f t="array" aca="1" ref="O9" ca="1">IF(ROW()-ROW($D$2:$D$26)+1&gt;ROWS($C$2:$C$26)-COUNTBLANK($C$2:$C$26),"",INDIRECT(ADDRESS(SMALL((IF($C$2:$C$26&lt;&gt;"",ROW($C$2:$C$26),ROW()+ROWS($C$2:$C$26))),ROW()-ROW($D$2:$D$26)+1),COLUMN($C$2:$C$26),4)))</f>
        <v>8</v>
      </c>
      <c r="P9" s="162" t="str">
        <f t="array" aca="1" ref="P9" ca="1">IF(ROW()-ROW($E$2:$E$26)+1&gt;ROWS($D$2:$D$26)-COUNTBLANK($D$2:$D$26),"",INDIRECT(ADDRESS(SMALL((IF($D$2:$D$26&gt;"",ROW($D$2:$D$26),ROW()+ROWS($D$2:$D$26))),ROW()-ROW($E$2:$E$26)+1),COLUMN($D$2:$D$26),4)))</f>
        <v xml:space="preserve">Trastuzumabtherapie über 1 Jahr bei HER-2 pos. Befund </v>
      </c>
      <c r="Q9" s="159" t="str">
        <f t="array" aca="1" ref="Q9" ca="1">IF(ROW()-ROW($F$2:$F$26)+1&gt;ROWS($E$2:$E$26)-COUNTBLANK($E$2:$E$26),"",INDIRECT(ADDRESS(SMALL((IF($E$2:$E$26&gt;"",ROW($E$2:$E$26),ROW()+ROWS($E$2:$E$26))),ROW()-ROW($F$2:$F$26)+1),COLUMN($E$2:$E$26),4)))</f>
        <v>-----</v>
      </c>
      <c r="R9" s="158" t="str">
        <f t="array" aca="1" ref="R9" ca="1">IF(ROW()-ROW($G$2:$G$26)+1&gt;ROWS($F$2:$F$26)-COUNTBLANK($F$2:$F$26),"",INDIRECT(ADDRESS(SMALL((IF($F$2:$F$26&gt;"",ROW($F$2:$F$26),ROW()+ROWS($F$2:$F$26))),ROW()-ROW($G$2:$G$26)+1),COLUMN($F$2:$F$26),4)))</f>
        <v>≥ 95%</v>
      </c>
      <c r="S9" s="159" t="str">
        <f t="array" aca="1" ref="S9" ca="1">IF(ROW()-ROW($H$2:$H$26)+1&gt;ROWS($G$2:$G$26)-COUNTBLANK($G$2:$G$26),"",INDIRECT(ADDRESS(SMALL((IF($G$2:$G$26&lt;&gt;"",ROW($G$2:$G$26),ROW()+ROWS($G$2:$G$26))),ROW()-ROW($H$2:$H$26)+1),COLUMN($G$2:$G$26),4)))</f>
        <v>-----</v>
      </c>
      <c r="T9" s="157" t="str">
        <f t="array" aca="1" ref="T9" ca="1">IF(ROW()-ROW($I$2:$I$26)+1&gt;ROWS($H$2:$H$26)-COUNTBLANK($H$2:$H$26),"",INDIRECT(ADDRESS(SMALL((IF($H$2:$H$26&lt;&gt;"",ROW($H$2:$H$26),ROW()+ROWS($H$2:$H$26))),ROW()-ROW($I$2:$I$26)+1),COLUMN($H$2:$H$26),4)))</f>
        <v>-----</v>
      </c>
      <c r="U9" s="157" t="str">
        <f t="array" aca="1" ref="U9" ca="1">IF(ROW()-ROW($J$2:$J$26)+1&gt;ROWS($I$2:$I$26)-COUNTBLANK($I$2:$I$26),"",INDIRECT(ADDRESS(SMALL((IF($I$2:$I$26&lt;&gt;"",ROW($I$2:$I$26),ROW()+ROWS($I$2:$I$26))),ROW()-ROW($J$2:$J$26)+1),COLUMN($I$2:$I$26),4)))</f>
        <v>-----</v>
      </c>
      <c r="V9" s="159" t="str">
        <f t="array" aca="1" ref="V9" ca="1">IF(ROW()-ROW($K$2:$K$26)+1&gt;ROWS($J$2:$J$26)-COUNTBLANK($J$2:$J$26),"",INDIRECT(ADDRESS(SMALL((IF($J$2:$J$26&lt;&gt;"",ROW($J$2:$J$26),ROW()+ROWS($J$2:$J$26))),ROW()-ROW($K$2:$K$26)+1),COLUMN($J$2:$J$26),4)))</f>
        <v>n.d.</v>
      </c>
      <c r="W9" s="70" t="str">
        <f t="array" aca="1" ref="W9" ca="1">IF(ROW()-ROW($L$2:$L$26)+1&gt;ROWS($K$2:$K$26)-COUNTBLANK($K$2:$K$26),"",INDIRECT(ADDRESS(SMALL((IF($K$2:$K$26&lt;&gt;"",ROW($K$2:$K$26),ROW()+ROWS($K$2:$K$26))),ROW()-ROW($L$2:$L$26)+1),COLUMN($K$2:$K$26),4)))</f>
        <v>Unvollständig</v>
      </c>
      <c r="X9" s="162" t="str">
        <f t="array" aca="1" ref="X9" ca="1">IF(ROW()-ROW($M$2:$M$26)+1&gt;ROWS($L$2:$L$26)-COUNTBLANK($L$2:$L$26),"",INDIRECT(ADDRESS(SMALL((IF($L$2:$L$26&lt;&gt;"",ROW($L$2:$L$26),ROW()+ROWS($L$2:$L$26))),ROW()-ROW($M$2:$M$26)+1),COLUMN($L$2:$L$26),4)))</f>
        <v>-----</v>
      </c>
      <c r="Y9" s="162" t="str">
        <f t="array" aca="1" ref="Y9" ca="1">IF(ROW()-ROW($N$2:$N$26)+1&gt;ROWS($M$2:$M$26)-COUNTBLANK($M$2:$M$26),"",INDIRECT(ADDRESS(SMALL((IF($M$2:$M$26&lt;&gt;"",ROW($M$2:$M$26),ROW()+ROWS($M$2:$M$26))),ROW()-ROW($N$2:$N$26)+1),COLUMN($M$2:$M$26),4)))</f>
        <v>-----</v>
      </c>
    </row>
    <row r="10" spans="1:25" ht="22.5" customHeight="1" x14ac:dyDescent="0.25">
      <c r="A10" s="242" t="str">
        <f>IF('Kennzahlenbogen_(KB)'!P33=0,"",'Kennzahlenbogen_(KB)'!P33)</f>
        <v>Unvollständig</v>
      </c>
      <c r="C10" s="345">
        <f>IF($A10="I.O.","",'Kennzahlenbogen_(KB)'!A33)</f>
        <v>9</v>
      </c>
      <c r="D10" s="390" t="str">
        <f>IF($A10="I.O.","",'Kennzahlenbogen_(KB)'!C33)</f>
        <v>Endokrine Therapie bei Metastasierung</v>
      </c>
      <c r="E10" s="391" t="str">
        <f>IF(AND('Kennzahlenbogen_(KB)'!J33="",$A10&lt;&gt;"I.O."),"-----",IF($A10="I.O.","",'Kennzahlenbogen_(KB)'!J33))</f>
        <v>-----</v>
      </c>
      <c r="F10" s="392" t="str">
        <f>IF($A10="I.O.","",'Kennzahlenbogen_(KB)'!K33)</f>
        <v>≥ 95%</v>
      </c>
      <c r="G10" s="391" t="str">
        <f>IF(AND('Kennzahlenbogen_(KB)'!M33="",$A10&lt;&gt;"I.O."),"-----",IF($A10="I.O.","",'Kennzahlenbogen_(KB)'!M33))</f>
        <v>-----</v>
      </c>
      <c r="H10" s="393" t="str">
        <f>IF($A10="I.O.","",IF('Kennzahlenbogen_(KB)'!O33="","-----",'Kennzahlenbogen_(KB)'!O33))</f>
        <v>-----</v>
      </c>
      <c r="I10" s="393" t="str">
        <f>IF($A10="I.O.","",IF('Kennzahlenbogen_(KB)'!O34="","-----",'Kennzahlenbogen_(KB)'!O34))</f>
        <v>-----</v>
      </c>
      <c r="J10" s="394" t="str">
        <f>IF($A10="I.O.","",IF('Kennzahlenbogen_(KB)'!O35="","-----",'Kennzahlenbogen_(KB)'!O35))</f>
        <v>n.d.</v>
      </c>
      <c r="K10" s="345" t="str">
        <f>IF($A10="I.O.","",'Kennzahlenbogen_(KB)'!P33)</f>
        <v>Unvollständig</v>
      </c>
      <c r="L10" s="395" t="str">
        <f>IF(AND('Kennzahlenbogen_(KB)'!Q33="",$A10&lt;&gt;"I.O."),"-----",IF($A10="I.O.","",'Kennzahlenbogen_(KB)'!Q33))</f>
        <v>-----</v>
      </c>
      <c r="M10" s="395" t="str">
        <f>IF(AND('Kennzahlenbogen_(KB)'!R33="",$A10&lt;&gt;"I.O."),"-----",IF($A10="I.O.","",'Kennzahlenbogen_(KB)'!R33))</f>
        <v>-----</v>
      </c>
      <c r="O10" s="242">
        <f t="array" aca="1" ref="O10" ca="1">IF(ROW()-ROW($D$2:$D$26)+1&gt;ROWS($C$2:$C$26)-COUNTBLANK($C$2:$C$26),"",INDIRECT(ADDRESS(SMALL((IF($C$2:$C$26&lt;&gt;"",ROW($C$2:$C$26),ROW()+ROWS($C$2:$C$26))),ROW()-ROW($D$2:$D$26)+1),COLUMN($C$2:$C$26),4)))</f>
        <v>9</v>
      </c>
      <c r="P10" s="162" t="str">
        <f t="array" aca="1" ref="P10" ca="1">IF(ROW()-ROW($E$2:$E$26)+1&gt;ROWS($D$2:$D$26)-COUNTBLANK($D$2:$D$26),"",INDIRECT(ADDRESS(SMALL((IF($D$2:$D$26&gt;"",ROW($D$2:$D$26),ROW()+ROWS($D$2:$D$26))),ROW()-ROW($E$2:$E$26)+1),COLUMN($D$2:$D$26),4)))</f>
        <v>Endokrine Therapie bei Metastasierung</v>
      </c>
      <c r="Q10" s="159" t="str">
        <f t="array" aca="1" ref="Q10" ca="1">IF(ROW()-ROW($F$2:$F$26)+1&gt;ROWS($E$2:$E$26)-COUNTBLANK($E$2:$E$26),"",INDIRECT(ADDRESS(SMALL((IF($E$2:$E$26&gt;"",ROW($E$2:$E$26),ROW()+ROWS($E$2:$E$26))),ROW()-ROW($F$2:$F$26)+1),COLUMN($E$2:$E$26),4)))</f>
        <v>-----</v>
      </c>
      <c r="R10" s="158" t="str">
        <f t="array" aca="1" ref="R10" ca="1">IF(ROW()-ROW($G$2:$G$26)+1&gt;ROWS($F$2:$F$26)-COUNTBLANK($F$2:$F$26),"",INDIRECT(ADDRESS(SMALL((IF($F$2:$F$26&gt;"",ROW($F$2:$F$26),ROW()+ROWS($F$2:$F$26))),ROW()-ROW($G$2:$G$26)+1),COLUMN($F$2:$F$26),4)))</f>
        <v>≥ 95%</v>
      </c>
      <c r="S10" s="159" t="str">
        <f t="array" aca="1" ref="S10" ca="1">IF(ROW()-ROW($H$2:$H$26)+1&gt;ROWS($G$2:$G$26)-COUNTBLANK($G$2:$G$26),"",INDIRECT(ADDRESS(SMALL((IF($G$2:$G$26&lt;&gt;"",ROW($G$2:$G$26),ROW()+ROWS($G$2:$G$26))),ROW()-ROW($H$2:$H$26)+1),COLUMN($G$2:$G$26),4)))</f>
        <v>-----</v>
      </c>
      <c r="T10" s="157" t="str">
        <f t="array" aca="1" ref="T10" ca="1">IF(ROW()-ROW($I$2:$I$26)+1&gt;ROWS($H$2:$H$26)-COUNTBLANK($H$2:$H$26),"",INDIRECT(ADDRESS(SMALL((IF($H$2:$H$26&lt;&gt;"",ROW($H$2:$H$26),ROW()+ROWS($H$2:$H$26))),ROW()-ROW($I$2:$I$26)+1),COLUMN($H$2:$H$26),4)))</f>
        <v>-----</v>
      </c>
      <c r="U10" s="157" t="str">
        <f t="array" aca="1" ref="U10" ca="1">IF(ROW()-ROW($J$2:$J$26)+1&gt;ROWS($I$2:$I$26)-COUNTBLANK($I$2:$I$26),"",INDIRECT(ADDRESS(SMALL((IF($I$2:$I$26&lt;&gt;"",ROW($I$2:$I$26),ROW()+ROWS($I$2:$I$26))),ROW()-ROW($J$2:$J$26)+1),COLUMN($I$2:$I$26),4)))</f>
        <v>-----</v>
      </c>
      <c r="V10" s="159" t="str">
        <f t="array" aca="1" ref="V10" ca="1">IF(ROW()-ROW($K$2:$K$26)+1&gt;ROWS($J$2:$J$26)-COUNTBLANK($J$2:$J$26),"",INDIRECT(ADDRESS(SMALL((IF($J$2:$J$26&lt;&gt;"",ROW($J$2:$J$26),ROW()+ROWS($J$2:$J$26))),ROW()-ROW($K$2:$K$26)+1),COLUMN($J$2:$J$26),4)))</f>
        <v>n.d.</v>
      </c>
      <c r="W10" s="70" t="str">
        <f t="array" aca="1" ref="W10" ca="1">IF(ROW()-ROW($L$2:$L$26)+1&gt;ROWS($K$2:$K$26)-COUNTBLANK($K$2:$K$26),"",INDIRECT(ADDRESS(SMALL((IF($K$2:$K$26&lt;&gt;"",ROW($K$2:$K$26),ROW()+ROWS($K$2:$K$26))),ROW()-ROW($L$2:$L$26)+1),COLUMN($K$2:$K$26),4)))</f>
        <v>Unvollständig</v>
      </c>
      <c r="X10" s="162" t="str">
        <f t="array" aca="1" ref="X10" ca="1">IF(ROW()-ROW($M$2:$M$26)+1&gt;ROWS($L$2:$L$26)-COUNTBLANK($L$2:$L$26),"",INDIRECT(ADDRESS(SMALL((IF($L$2:$L$26&lt;&gt;"",ROW($L$2:$L$26),ROW()+ROWS($L$2:$L$26))),ROW()-ROW($M$2:$M$26)+1),COLUMN($L$2:$L$26),4)))</f>
        <v>-----</v>
      </c>
      <c r="Y10" s="162" t="str">
        <f t="array" aca="1" ref="Y10" ca="1">IF(ROW()-ROW($N$2:$N$26)+1&gt;ROWS($M$2:$M$26)-COUNTBLANK($M$2:$M$26),"",INDIRECT(ADDRESS(SMALL((IF($M$2:$M$26&lt;&gt;"",ROW($M$2:$M$26),ROW()+ROWS($M$2:$M$26))),ROW()-ROW($N$2:$N$26)+1),COLUMN($M$2:$M$26),4)))</f>
        <v>-----</v>
      </c>
    </row>
    <row r="11" spans="1:25" ht="22.5" customHeight="1" x14ac:dyDescent="0.25">
      <c r="A11" s="242" t="str">
        <f>IF('Kennzahlenbogen_(KB)'!P36=0,"",'Kennzahlenbogen_(KB)'!P36)</f>
        <v>Unvollständig</v>
      </c>
      <c r="C11" s="242">
        <f>IF($A11="I.O.","",'Kennzahlenbogen_(KB)'!A36)</f>
        <v>10</v>
      </c>
      <c r="D11" s="161" t="str">
        <f>IF($A11="I.O.","",'Kennzahlenbogen_(KB)'!C36)</f>
        <v xml:space="preserve">Psychoonkologisches Distress-Screening </v>
      </c>
      <c r="E11" s="159" t="str">
        <f>IF(AND('Kennzahlenbogen_(KB)'!J36="",$A11&lt;&gt;"I.O."),"-----",IF($A11="I.O.","",'Kennzahlenbogen_(KB)'!J36))</f>
        <v>-----</v>
      </c>
      <c r="F11" s="158" t="str">
        <f>IF($A11="I.O.","",'Kennzahlenbogen_(KB)'!K36)</f>
        <v>≥ 65%</v>
      </c>
      <c r="G11" s="159" t="str">
        <f>IF(AND('Kennzahlenbogen_(KB)'!M36="",$A11&lt;&gt;"I.O."),"-----",IF($A11="I.O.","",'Kennzahlenbogen_(KB)'!M36))</f>
        <v>-----</v>
      </c>
      <c r="H11" s="157" t="str">
        <f>IF($A11="I.O.","",IF('Kennzahlenbogen_(KB)'!O36="","-----",'Kennzahlenbogen_(KB)'!O36))</f>
        <v>-----</v>
      </c>
      <c r="I11" s="157">
        <f>IF($A11="I.O.","",IF('Kennzahlenbogen_(KB)'!O37="","-----",'Kennzahlenbogen_(KB)'!O37))</f>
        <v>0</v>
      </c>
      <c r="J11" s="156" t="str">
        <f>IF($A11="I.O.","",IF('Kennzahlenbogen_(KB)'!O38="","-----",'Kennzahlenbogen_(KB)'!O38))</f>
        <v>n.d.</v>
      </c>
      <c r="K11" s="242" t="str">
        <f>IF($A11="I.O.","",'Kennzahlenbogen_(KB)'!P36)</f>
        <v>Unvollständig</v>
      </c>
      <c r="L11" s="162" t="str">
        <f>IF(AND('Kennzahlenbogen_(KB)'!Q36="",$A11&lt;&gt;"I.O."),"-----",IF($A11="I.O.","",'Kennzahlenbogen_(KB)'!Q36))</f>
        <v>-----</v>
      </c>
      <c r="M11" s="162" t="str">
        <f>IF(AND('Kennzahlenbogen_(KB)'!R36="",$A11&lt;&gt;"I.O."),"-----",IF($A11="I.O.","",'Kennzahlenbogen_(KB)'!R36))</f>
        <v>-----</v>
      </c>
      <c r="O11" s="242">
        <f t="array" aca="1" ref="O11" ca="1">IF(ROW()-ROW($D$2:$D$26)+1&gt;ROWS($C$2:$C$26)-COUNTBLANK($C$2:$C$26),"",INDIRECT(ADDRESS(SMALL((IF($C$2:$C$26&lt;&gt;"",ROW($C$2:$C$26),ROW()+ROWS($C$2:$C$26))),ROW()-ROW($D$2:$D$26)+1),COLUMN($C$2:$C$26),4)))</f>
        <v>10</v>
      </c>
      <c r="P11" s="162" t="str">
        <f t="array" aca="1" ref="P11" ca="1">IF(ROW()-ROW($E$2:$E$26)+1&gt;ROWS($D$2:$D$26)-COUNTBLANK($D$2:$D$26),"",INDIRECT(ADDRESS(SMALL((IF($D$2:$D$26&gt;"",ROW($D$2:$D$26),ROW()+ROWS($D$2:$D$26))),ROW()-ROW($E$2:$E$26)+1),COLUMN($D$2:$D$26),4)))</f>
        <v xml:space="preserve">Psychoonkologisches Distress-Screening </v>
      </c>
      <c r="Q11" s="159" t="str">
        <f t="array" aca="1" ref="Q11" ca="1">IF(ROW()-ROW($F$2:$F$26)+1&gt;ROWS($E$2:$E$26)-COUNTBLANK($E$2:$E$26),"",INDIRECT(ADDRESS(SMALL((IF($E$2:$E$26&gt;"",ROW($E$2:$E$26),ROW()+ROWS($E$2:$E$26))),ROW()-ROW($F$2:$F$26)+1),COLUMN($E$2:$E$26),4)))</f>
        <v>-----</v>
      </c>
      <c r="R11" s="158" t="str">
        <f t="array" aca="1" ref="R11" ca="1">IF(ROW()-ROW($G$2:$G$26)+1&gt;ROWS($F$2:$F$26)-COUNTBLANK($F$2:$F$26),"",INDIRECT(ADDRESS(SMALL((IF($F$2:$F$26&gt;"",ROW($F$2:$F$26),ROW()+ROWS($F$2:$F$26))),ROW()-ROW($G$2:$G$26)+1),COLUMN($F$2:$F$26),4)))</f>
        <v>≥ 65%</v>
      </c>
      <c r="S11" s="159" t="str">
        <f t="array" aca="1" ref="S11" ca="1">IF(ROW()-ROW($H$2:$H$26)+1&gt;ROWS($G$2:$G$26)-COUNTBLANK($G$2:$G$26),"",INDIRECT(ADDRESS(SMALL((IF($G$2:$G$26&lt;&gt;"",ROW($G$2:$G$26),ROW()+ROWS($G$2:$G$26))),ROW()-ROW($H$2:$H$26)+1),COLUMN($G$2:$G$26),4)))</f>
        <v>-----</v>
      </c>
      <c r="T11" s="157" t="str">
        <f t="array" aca="1" ref="T11" ca="1">IF(ROW()-ROW($I$2:$I$26)+1&gt;ROWS($H$2:$H$26)-COUNTBLANK($H$2:$H$26),"",INDIRECT(ADDRESS(SMALL((IF($H$2:$H$26&lt;&gt;"",ROW($H$2:$H$26),ROW()+ROWS($H$2:$H$26))),ROW()-ROW($I$2:$I$26)+1),COLUMN($H$2:$H$26),4)))</f>
        <v>-----</v>
      </c>
      <c r="U11" s="157">
        <f t="array" aca="1" ref="U11" ca="1">IF(ROW()-ROW($J$2:$J$26)+1&gt;ROWS($I$2:$I$26)-COUNTBLANK($I$2:$I$26),"",INDIRECT(ADDRESS(SMALL((IF($I$2:$I$26&lt;&gt;"",ROW($I$2:$I$26),ROW()+ROWS($I$2:$I$26))),ROW()-ROW($J$2:$J$26)+1),COLUMN($I$2:$I$26),4)))</f>
        <v>0</v>
      </c>
      <c r="V11" s="159" t="str">
        <f t="array" aca="1" ref="V11" ca="1">IF(ROW()-ROW($K$2:$K$26)+1&gt;ROWS($J$2:$J$26)-COUNTBLANK($J$2:$J$26),"",INDIRECT(ADDRESS(SMALL((IF($J$2:$J$26&lt;&gt;"",ROW($J$2:$J$26),ROW()+ROWS($J$2:$J$26))),ROW()-ROW($K$2:$K$26)+1),COLUMN($J$2:$J$26),4)))</f>
        <v>n.d.</v>
      </c>
      <c r="W11" s="70" t="str">
        <f t="array" aca="1" ref="W11" ca="1">IF(ROW()-ROW($L$2:$L$26)+1&gt;ROWS($K$2:$K$26)-COUNTBLANK($K$2:$K$26),"",INDIRECT(ADDRESS(SMALL((IF($K$2:$K$26&lt;&gt;"",ROW($K$2:$K$26),ROW()+ROWS($K$2:$K$26))),ROW()-ROW($L$2:$L$26)+1),COLUMN($K$2:$K$26),4)))</f>
        <v>Unvollständig</v>
      </c>
      <c r="X11" s="162" t="str">
        <f t="array" aca="1" ref="X11" ca="1">IF(ROW()-ROW($M$2:$M$26)+1&gt;ROWS($L$2:$L$26)-COUNTBLANK($L$2:$L$26),"",INDIRECT(ADDRESS(SMALL((IF($L$2:$L$26&lt;&gt;"",ROW($L$2:$L$26),ROW()+ROWS($L$2:$L$26))),ROW()-ROW($M$2:$M$26)+1),COLUMN($L$2:$L$26),4)))</f>
        <v>-----</v>
      </c>
      <c r="Y11" s="162" t="str">
        <f t="array" aca="1" ref="Y11" ca="1">IF(ROW()-ROW($N$2:$N$26)+1&gt;ROWS($M$2:$M$26)-COUNTBLANK($M$2:$M$26),"",INDIRECT(ADDRESS(SMALL((IF($M$2:$M$26&lt;&gt;"",ROW($M$2:$M$26),ROW()+ROWS($M$2:$M$26))),ROW()-ROW($N$2:$N$26)+1),COLUMN($M$2:$M$26),4)))</f>
        <v>-----</v>
      </c>
    </row>
    <row r="12" spans="1:25" ht="22.5" customHeight="1" x14ac:dyDescent="0.25">
      <c r="A12" s="242" t="str">
        <f>IF('Kennzahlenbogen_(KB)'!P39=0,"",'Kennzahlenbogen_(KB)'!P39)</f>
        <v>Unvollständig</v>
      </c>
      <c r="C12" s="242">
        <f>IF($A12="I.O.","",'Kennzahlenbogen_(KB)'!A39)</f>
        <v>11</v>
      </c>
      <c r="D12" s="161" t="str">
        <f>IF($A12="I.O.","",'Kennzahlenbogen_(KB)'!C39)</f>
        <v>Beratung Sozialdienst</v>
      </c>
      <c r="E12" s="159" t="str">
        <f>IF(AND('Kennzahlenbogen_(KB)'!J39="",$A12&lt;&gt;"I.O."),"-----",IF($A12="I.O.","",'Kennzahlenbogen_(KB)'!J39))</f>
        <v>&lt; 50%</v>
      </c>
      <c r="F12" s="158" t="str">
        <f>IF($A12="I.O.","",'Kennzahlenbogen_(KB)'!K39)</f>
        <v>Derzeit keine Vorgaben</v>
      </c>
      <c r="G12" s="159" t="str">
        <f>IF(AND('Kennzahlenbogen_(KB)'!M39="",$A12&lt;&gt;"I.O."),"-----",IF($A12="I.O.","",'Kennzahlenbogen_(KB)'!M39))</f>
        <v>-----</v>
      </c>
      <c r="H12" s="157" t="str">
        <f>IF($A12="I.O.","",IF('Kennzahlenbogen_(KB)'!O39="","-----",'Kennzahlenbogen_(KB)'!O39))</f>
        <v>-----</v>
      </c>
      <c r="I12" s="157">
        <f>IF($A12="I.O.","",IF('Kennzahlenbogen_(KB)'!O40="","-----",'Kennzahlenbogen_(KB)'!O40))</f>
        <v>0</v>
      </c>
      <c r="J12" s="156" t="str">
        <f>IF($A12="I.O.","",IF('Kennzahlenbogen_(KB)'!O41="",0,'Kennzahlenbogen_(KB)'!O41))</f>
        <v>n.d.</v>
      </c>
      <c r="K12" s="242" t="str">
        <f>IF($A12="I.O.","",'Kennzahlenbogen_(KB)'!P39)</f>
        <v>Unvollständig</v>
      </c>
      <c r="L12" s="162" t="str">
        <f>IF(AND('Kennzahlenbogen_(KB)'!Q39="",$A12&lt;&gt;"I.O."),"-----",IF($A12="I.O.","",'Kennzahlenbogen_(KB)'!Q39))</f>
        <v>-----</v>
      </c>
      <c r="M12" s="162" t="str">
        <f>IF(AND('Kennzahlenbogen_(KB)'!R39="",$A12&lt;&gt;"I.O."),"-----",IF($A12="I.O.","",'Kennzahlenbogen_(KB)'!R39))</f>
        <v>-----</v>
      </c>
      <c r="O12" s="242">
        <f t="array" aca="1" ref="O12" ca="1">IF(ROW()-ROW($D$2:$D$26)+1&gt;ROWS($C$2:$C$26)-COUNTBLANK($C$2:$C$26),"",INDIRECT(ADDRESS(SMALL((IF($C$2:$C$26&lt;&gt;"",ROW($C$2:$C$26),ROW()+ROWS($C$2:$C$26))),ROW()-ROW($D$2:$D$26)+1),COLUMN($C$2:$C$26),4)))</f>
        <v>11</v>
      </c>
      <c r="P12" s="162" t="str">
        <f t="array" aca="1" ref="P12" ca="1">IF(ROW()-ROW($E$2:$E$26)+1&gt;ROWS($D$2:$D$26)-COUNTBLANK($D$2:$D$26),"",INDIRECT(ADDRESS(SMALL((IF($D$2:$D$26&gt;"",ROW($D$2:$D$26),ROW()+ROWS($D$2:$D$26))),ROW()-ROW($E$2:$E$26)+1),COLUMN($D$2:$D$26),4)))</f>
        <v>Beratung Sozialdienst</v>
      </c>
      <c r="Q12" s="159" t="str">
        <f t="array" aca="1" ref="Q12" ca="1">IF(ROW()-ROW($F$2:$F$26)+1&gt;ROWS($E$2:$E$26)-COUNTBLANK($E$2:$E$26),"",INDIRECT(ADDRESS(SMALL((IF($E$2:$E$26&gt;"",ROW($E$2:$E$26),ROW()+ROWS($E$2:$E$26))),ROW()-ROW($F$2:$F$26)+1),COLUMN($E$2:$E$26),4)))</f>
        <v>&lt; 50%</v>
      </c>
      <c r="R12" s="158" t="str">
        <f t="array" aca="1" ref="R12" ca="1">IF(ROW()-ROW($G$2:$G$26)+1&gt;ROWS($F$2:$F$26)-COUNTBLANK($F$2:$F$26),"",INDIRECT(ADDRESS(SMALL((IF($F$2:$F$26&gt;"",ROW($F$2:$F$26),ROW()+ROWS($F$2:$F$26))),ROW()-ROW($G$2:$G$26)+1),COLUMN($F$2:$F$26),4)))</f>
        <v>Derzeit keine Vorgaben</v>
      </c>
      <c r="S12" s="159" t="str">
        <f t="array" aca="1" ref="S12" ca="1">IF(ROW()-ROW($H$2:$H$26)+1&gt;ROWS($G$2:$G$26)-COUNTBLANK($G$2:$G$26),"",INDIRECT(ADDRESS(SMALL((IF($G$2:$G$26&lt;&gt;"",ROW($G$2:$G$26),ROW()+ROWS($G$2:$G$26))),ROW()-ROW($H$2:$H$26)+1),COLUMN($G$2:$G$26),4)))</f>
        <v>-----</v>
      </c>
      <c r="T12" s="157" t="str">
        <f t="array" aca="1" ref="T12" ca="1">IF(ROW()-ROW($I$2:$I$26)+1&gt;ROWS($H$2:$H$26)-COUNTBLANK($H$2:$H$26),"",INDIRECT(ADDRESS(SMALL((IF($H$2:$H$26&lt;&gt;"",ROW($H$2:$H$26),ROW()+ROWS($H$2:$H$26))),ROW()-ROW($I$2:$I$26)+1),COLUMN($H$2:$H$26),4)))</f>
        <v>-----</v>
      </c>
      <c r="U12" s="157">
        <f t="array" aca="1" ref="U12" ca="1">IF(ROW()-ROW($J$2:$J$26)+1&gt;ROWS($I$2:$I$26)-COUNTBLANK($I$2:$I$26),"",INDIRECT(ADDRESS(SMALL((IF($I$2:$I$26&lt;&gt;"",ROW($I$2:$I$26),ROW()+ROWS($I$2:$I$26))),ROW()-ROW($J$2:$J$26)+1),COLUMN($I$2:$I$26),4)))</f>
        <v>0</v>
      </c>
      <c r="V12" s="159" t="str">
        <f t="array" aca="1" ref="V12" ca="1">IF(ROW()-ROW($K$2:$K$26)+1&gt;ROWS($J$2:$J$26)-COUNTBLANK($J$2:$J$26),"",INDIRECT(ADDRESS(SMALL((IF($J$2:$J$26&lt;&gt;"",ROW($J$2:$J$26),ROW()+ROWS($J$2:$J$26))),ROW()-ROW($K$2:$K$26)+1),COLUMN($J$2:$J$26),4)))</f>
        <v>n.d.</v>
      </c>
      <c r="W12" s="70" t="str">
        <f t="array" aca="1" ref="W12" ca="1">IF(ROW()-ROW($L$2:$L$26)+1&gt;ROWS($K$2:$K$26)-COUNTBLANK($K$2:$K$26),"",INDIRECT(ADDRESS(SMALL((IF($K$2:$K$26&lt;&gt;"",ROW($K$2:$K$26),ROW()+ROWS($K$2:$K$26))),ROW()-ROW($L$2:$L$26)+1),COLUMN($K$2:$K$26),4)))</f>
        <v>Unvollständig</v>
      </c>
      <c r="X12" s="162" t="str">
        <f t="array" aca="1" ref="X12" ca="1">IF(ROW()-ROW($M$2:$M$26)+1&gt;ROWS($L$2:$L$26)-COUNTBLANK($L$2:$L$26),"",INDIRECT(ADDRESS(SMALL((IF($L$2:$L$26&lt;&gt;"",ROW($L$2:$L$26),ROW()+ROWS($L$2:$L$26))),ROW()-ROW($M$2:$M$26)+1),COLUMN($L$2:$L$26),4)))</f>
        <v>-----</v>
      </c>
      <c r="Y12" s="162" t="str">
        <f t="array" aca="1" ref="Y12" ca="1">IF(ROW()-ROW($N$2:$N$26)+1&gt;ROWS($M$2:$M$26)-COUNTBLANK($M$2:$M$26),"",INDIRECT(ADDRESS(SMALL((IF($M$2:$M$26&lt;&gt;"",ROW($M$2:$M$26),ROW()+ROWS($M$2:$M$26))),ROW()-ROW($N$2:$N$26)+1),COLUMN($M$2:$M$26),4)))</f>
        <v>-----</v>
      </c>
    </row>
    <row r="13" spans="1:25" ht="22.5" customHeight="1" x14ac:dyDescent="0.25">
      <c r="A13" s="242" t="str">
        <f>IF('Kennzahlenbogen_(KB)'!P42=0,"",'Kennzahlenbogen_(KB)'!P42)</f>
        <v>Unvollständig</v>
      </c>
      <c r="C13" s="242">
        <f>IF($A13="I.O.","",'Kennzahlenbogen_(KB)'!A42)</f>
        <v>12</v>
      </c>
      <c r="D13" s="161" t="str">
        <f>IF($A13="I.O.","",'Kennzahlenbogen_(KB)'!C42)</f>
        <v>Anteil
Studienpat.</v>
      </c>
      <c r="E13" s="159" t="str">
        <f>IF(AND('Kennzahlenbogen_(KB)'!J42="",$A13&lt;&gt;"I.O."),"-----",IF($A13="I.O.","",'Kennzahlenbogen_(KB)'!J42))</f>
        <v>-----</v>
      </c>
      <c r="F13" s="158" t="str">
        <f>IF($A13="I.O.","",'Kennzahlenbogen_(KB)'!K42)</f>
        <v>≥ 5%</v>
      </c>
      <c r="G13" s="159" t="str">
        <f>IF(AND('Kennzahlenbogen_(KB)'!M42="",$A13&lt;&gt;"I.O."),"-----",IF($A13="I.O.","",'Kennzahlenbogen_(KB)'!M42))</f>
        <v>&gt; 65%</v>
      </c>
      <c r="H13" s="157">
        <f>IF($A13="I.O.","",IF('Kennzahlenbogen_(KB)'!O42="","-----",'Kennzahlenbogen_(KB)'!O42))</f>
        <v>0</v>
      </c>
      <c r="I13" s="157">
        <f>IF($A13="I.O.","",IF('Kennzahlenbogen_(KB)'!O43="","-----",'Kennzahlenbogen_(KB)'!O43))</f>
        <v>0</v>
      </c>
      <c r="J13" s="156" t="str">
        <f>IF($A13="I.O.","",IF('Kennzahlenbogen_(KB)'!O44="",0,'Kennzahlenbogen_(KB)'!O44))</f>
        <v>n.d.</v>
      </c>
      <c r="K13" s="242" t="str">
        <f>IF($A13="I.O.","",'Kennzahlenbogen_(KB)'!P42)</f>
        <v>Unvollständig</v>
      </c>
      <c r="L13" s="162" t="str">
        <f>IF(AND('Kennzahlenbogen_(KB)'!Q42="",$A13&lt;&gt;"I.O."),"-----",IF($A13="I.O.","",'Kennzahlenbogen_(KB)'!Q42))</f>
        <v>-----</v>
      </c>
      <c r="M13" s="162" t="str">
        <f>IF(AND('Kennzahlenbogen_(KB)'!R42="",$A13&lt;&gt;"I.O."),"-----",IF($A13="I.O.","",'Kennzahlenbogen_(KB)'!R42))</f>
        <v>-----</v>
      </c>
      <c r="O13" s="242">
        <f t="array" aca="1" ref="O13" ca="1">IF(ROW()-ROW($D$2:$D$26)+1&gt;ROWS($C$2:$C$26)-COUNTBLANK($C$2:$C$26),"",INDIRECT(ADDRESS(SMALL((IF($C$2:$C$26&lt;&gt;"",ROW($C$2:$C$26),ROW()+ROWS($C$2:$C$26))),ROW()-ROW($D$2:$D$26)+1),COLUMN($C$2:$C$26),4)))</f>
        <v>12</v>
      </c>
      <c r="P13" s="162" t="str">
        <f t="array" aca="1" ref="P13" ca="1">IF(ROW()-ROW($E$2:$E$26)+1&gt;ROWS($D$2:$D$26)-COUNTBLANK($D$2:$D$26),"",INDIRECT(ADDRESS(SMALL((IF($D$2:$D$26&gt;"",ROW($D$2:$D$26),ROW()+ROWS($D$2:$D$26))),ROW()-ROW($E$2:$E$26)+1),COLUMN($D$2:$D$26),4)))</f>
        <v>Anteil
Studienpat.</v>
      </c>
      <c r="Q13" s="159" t="str">
        <f t="array" aca="1" ref="Q13" ca="1">IF(ROW()-ROW($F$2:$F$26)+1&gt;ROWS($E$2:$E$26)-COUNTBLANK($E$2:$E$26),"",INDIRECT(ADDRESS(SMALL((IF($E$2:$E$26&gt;"",ROW($E$2:$E$26),ROW()+ROWS($E$2:$E$26))),ROW()-ROW($F$2:$F$26)+1),COLUMN($E$2:$E$26),4)))</f>
        <v>-----</v>
      </c>
      <c r="R13" s="158" t="str">
        <f t="array" aca="1" ref="R13" ca="1">IF(ROW()-ROW($G$2:$G$26)+1&gt;ROWS($F$2:$F$26)-COUNTBLANK($F$2:$F$26),"",INDIRECT(ADDRESS(SMALL((IF($F$2:$F$26&gt;"",ROW($F$2:$F$26),ROW()+ROWS($F$2:$F$26))),ROW()-ROW($G$2:$G$26)+1),COLUMN($F$2:$F$26),4)))</f>
        <v>≥ 5%</v>
      </c>
      <c r="S13" s="159" t="str">
        <f t="array" aca="1" ref="S13" ca="1">IF(ROW()-ROW($H$2:$H$26)+1&gt;ROWS($G$2:$G$26)-COUNTBLANK($G$2:$G$26),"",INDIRECT(ADDRESS(SMALL((IF($G$2:$G$26&lt;&gt;"",ROW($G$2:$G$26),ROW()+ROWS($G$2:$G$26))),ROW()-ROW($H$2:$H$26)+1),COLUMN($G$2:$G$26),4)))</f>
        <v>&gt; 65%</v>
      </c>
      <c r="T13" s="157">
        <f t="array" aca="1" ref="T13" ca="1">IF(ROW()-ROW($I$2:$I$26)+1&gt;ROWS($H$2:$H$26)-COUNTBLANK($H$2:$H$26),"",INDIRECT(ADDRESS(SMALL((IF($H$2:$H$26&lt;&gt;"",ROW($H$2:$H$26),ROW()+ROWS($H$2:$H$26))),ROW()-ROW($I$2:$I$26)+1),COLUMN($H$2:$H$26),4)))</f>
        <v>0</v>
      </c>
      <c r="U13" s="157">
        <f t="array" aca="1" ref="U13" ca="1">IF(ROW()-ROW($J$2:$J$26)+1&gt;ROWS($I$2:$I$26)-COUNTBLANK($I$2:$I$26),"",INDIRECT(ADDRESS(SMALL((IF($I$2:$I$26&lt;&gt;"",ROW($I$2:$I$26),ROW()+ROWS($I$2:$I$26))),ROW()-ROW($J$2:$J$26)+1),COLUMN($I$2:$I$26),4)))</f>
        <v>0</v>
      </c>
      <c r="V13" s="159" t="str">
        <f t="array" aca="1" ref="V13" ca="1">IF(ROW()-ROW($K$2:$K$26)+1&gt;ROWS($J$2:$J$26)-COUNTBLANK($J$2:$J$26),"",INDIRECT(ADDRESS(SMALL((IF($J$2:$J$26&lt;&gt;"",ROW($J$2:$J$26),ROW()+ROWS($J$2:$J$26))),ROW()-ROW($K$2:$K$26)+1),COLUMN($J$2:$J$26),4)))</f>
        <v>n.d.</v>
      </c>
      <c r="W13" s="70" t="str">
        <f t="array" aca="1" ref="W13" ca="1">IF(ROW()-ROW($L$2:$L$26)+1&gt;ROWS($K$2:$K$26)-COUNTBLANK($K$2:$K$26),"",INDIRECT(ADDRESS(SMALL((IF($K$2:$K$26&lt;&gt;"",ROW($K$2:$K$26),ROW()+ROWS($K$2:$K$26))),ROW()-ROW($L$2:$L$26)+1),COLUMN($K$2:$K$26),4)))</f>
        <v>Unvollständig</v>
      </c>
      <c r="X13" s="162" t="str">
        <f t="array" aca="1" ref="X13" ca="1">IF(ROW()-ROW($M$2:$M$26)+1&gt;ROWS($L$2:$L$26)-COUNTBLANK($L$2:$L$26),"",INDIRECT(ADDRESS(SMALL((IF($L$2:$L$26&lt;&gt;"",ROW($L$2:$L$26),ROW()+ROWS($L$2:$L$26))),ROW()-ROW($M$2:$M$26)+1),COLUMN($L$2:$L$26),4)))</f>
        <v>-----</v>
      </c>
      <c r="Y13" s="162" t="str">
        <f t="array" aca="1" ref="Y13" ca="1">IF(ROW()-ROW($N$2:$N$26)+1&gt;ROWS($M$2:$M$26)-COUNTBLANK($M$2:$M$26),"",INDIRECT(ADDRESS(SMALL((IF($M$2:$M$26&lt;&gt;"",ROW($M$2:$M$26),ROW()+ROWS($M$2:$M$26))),ROW()-ROW($N$2:$N$26)+1),COLUMN($M$2:$M$26),4)))</f>
        <v>-----</v>
      </c>
    </row>
    <row r="14" spans="1:25" ht="22.5" customHeight="1" x14ac:dyDescent="0.25">
      <c r="A14" s="242" t="str">
        <f>IF('Kennzahlenbogen_(KB)'!P45=0,"",'Kennzahlenbogen_(KB)'!P45)</f>
        <v>Unvollständig</v>
      </c>
      <c r="C14" s="242">
        <f>IF($A14="I.O.","",'Kennzahlenbogen_(KB)'!A45)</f>
        <v>13</v>
      </c>
      <c r="D14" s="161" t="str">
        <f>IF($A14="I.O.","",'Kennzahlenbogen_(KB)'!C45)</f>
        <v>Prätherapeutische histologische Sicherung</v>
      </c>
      <c r="E14" s="159" t="str">
        <f>IF(AND('Kennzahlenbogen_(KB)'!J45="",$A14&lt;&gt;"I.O."),"-----",IF($A14="I.O.","",'Kennzahlenbogen_(KB)'!J45))</f>
        <v>-----</v>
      </c>
      <c r="F14" s="158" t="str">
        <f>IF($A14="I.O.","",'Kennzahlenbogen_(KB)'!K45)</f>
        <v>≥ 90%</v>
      </c>
      <c r="G14" s="159" t="str">
        <f>IF(AND('Kennzahlenbogen_(KB)'!M45="",$A14&lt;&gt;"I.O."),"-----",IF($A14="I.O.","",'Kennzahlenbogen_(KB)'!M45))</f>
        <v>-----</v>
      </c>
      <c r="H14" s="157" t="str">
        <f>IF($A14="I.O.","",IF('Kennzahlenbogen_(KB)'!O45="","-----",'Kennzahlenbogen_(KB)'!O45))</f>
        <v>-----</v>
      </c>
      <c r="I14" s="157">
        <f>IF($A14="I.O.","",IF('Kennzahlenbogen_(KB)'!O46="","-----",'Kennzahlenbogen_(KB)'!O46))</f>
        <v>0</v>
      </c>
      <c r="J14" s="156" t="str">
        <f>IF($A14="I.O.","",IF('Kennzahlenbogen_(KB)'!O47="",0,'Kennzahlenbogen_(KB)'!O47))</f>
        <v>n.d.</v>
      </c>
      <c r="K14" s="242" t="str">
        <f>IF($A14="I.O.","",'Kennzahlenbogen_(KB)'!P45)</f>
        <v>Unvollständig</v>
      </c>
      <c r="L14" s="162" t="str">
        <f>IF(AND('Kennzahlenbogen_(KB)'!Q45="",$A14&lt;&gt;"I.O."),"-----",IF($A14="I.O.","",'Kennzahlenbogen_(KB)'!Q45))</f>
        <v>-----</v>
      </c>
      <c r="M14" s="162" t="str">
        <f>IF(AND('Kennzahlenbogen_(KB)'!R45="",$A14&lt;&gt;"I.O."),"-----",IF($A14="I.O.","",'Kennzahlenbogen_(KB)'!R45))</f>
        <v>-----</v>
      </c>
      <c r="O14" s="242">
        <f t="array" aca="1" ref="O14" ca="1">IF(ROW()-ROW($D$2:$D$26)+1&gt;ROWS($C$2:$C$26)-COUNTBLANK($C$2:$C$26),"",INDIRECT(ADDRESS(SMALL((IF($C$2:$C$26&lt;&gt;"",ROW($C$2:$C$26),ROW()+ROWS($C$2:$C$26))),ROW()-ROW($D$2:$D$26)+1),COLUMN($C$2:$C$26),4)))</f>
        <v>13</v>
      </c>
      <c r="P14" s="162" t="str">
        <f t="array" aca="1" ref="P14" ca="1">IF(ROW()-ROW($E$2:$E$26)+1&gt;ROWS($D$2:$D$26)-COUNTBLANK($D$2:$D$26),"",INDIRECT(ADDRESS(SMALL((IF($D$2:$D$26&gt;"",ROW($D$2:$D$26),ROW()+ROWS($D$2:$D$26))),ROW()-ROW($E$2:$E$26)+1),COLUMN($D$2:$D$26),4)))</f>
        <v>Prätherapeutische histologische Sicherung</v>
      </c>
      <c r="Q14" s="159" t="str">
        <f t="array" aca="1" ref="Q14" ca="1">IF(ROW()-ROW($F$2:$F$26)+1&gt;ROWS($E$2:$E$26)-COUNTBLANK($E$2:$E$26),"",INDIRECT(ADDRESS(SMALL((IF($E$2:$E$26&gt;"",ROW($E$2:$E$26),ROW()+ROWS($E$2:$E$26))),ROW()-ROW($F$2:$F$26)+1),COLUMN($E$2:$E$26),4)))</f>
        <v>-----</v>
      </c>
      <c r="R14" s="158" t="str">
        <f t="array" aca="1" ref="R14" ca="1">IF(ROW()-ROW($G$2:$G$26)+1&gt;ROWS($F$2:$F$26)-COUNTBLANK($F$2:$F$26),"",INDIRECT(ADDRESS(SMALL((IF($F$2:$F$26&gt;"",ROW($F$2:$F$26),ROW()+ROWS($F$2:$F$26))),ROW()-ROW($G$2:$G$26)+1),COLUMN($F$2:$F$26),4)))</f>
        <v>≥ 90%</v>
      </c>
      <c r="S14" s="159" t="str">
        <f t="array" aca="1" ref="S14" ca="1">IF(ROW()-ROW($H$2:$H$26)+1&gt;ROWS($G$2:$G$26)-COUNTBLANK($G$2:$G$26),"",INDIRECT(ADDRESS(SMALL((IF($G$2:$G$26&lt;&gt;"",ROW($G$2:$G$26),ROW()+ROWS($G$2:$G$26))),ROW()-ROW($H$2:$H$26)+1),COLUMN($G$2:$G$26),4)))</f>
        <v>-----</v>
      </c>
      <c r="T14" s="157" t="str">
        <f t="array" aca="1" ref="T14" ca="1">IF(ROW()-ROW($I$2:$I$26)+1&gt;ROWS($H$2:$H$26)-COUNTBLANK($H$2:$H$26),"",INDIRECT(ADDRESS(SMALL((IF($H$2:$H$26&lt;&gt;"",ROW($H$2:$H$26),ROW()+ROWS($H$2:$H$26))),ROW()-ROW($I$2:$I$26)+1),COLUMN($H$2:$H$26),4)))</f>
        <v>-----</v>
      </c>
      <c r="U14" s="157">
        <f t="array" aca="1" ref="U14" ca="1">IF(ROW()-ROW($J$2:$J$26)+1&gt;ROWS($I$2:$I$26)-COUNTBLANK($I$2:$I$26),"",INDIRECT(ADDRESS(SMALL((IF($I$2:$I$26&lt;&gt;"",ROW($I$2:$I$26),ROW()+ROWS($I$2:$I$26))),ROW()-ROW($J$2:$J$26)+1),COLUMN($I$2:$I$26),4)))</f>
        <v>0</v>
      </c>
      <c r="V14" s="159" t="str">
        <f t="array" aca="1" ref="V14" ca="1">IF(ROW()-ROW($K$2:$K$26)+1&gt;ROWS($J$2:$J$26)-COUNTBLANK($J$2:$J$26),"",INDIRECT(ADDRESS(SMALL((IF($J$2:$J$26&lt;&gt;"",ROW($J$2:$J$26),ROW()+ROWS($J$2:$J$26))),ROW()-ROW($K$2:$K$26)+1),COLUMN($J$2:$J$26),4)))</f>
        <v>n.d.</v>
      </c>
      <c r="W14" s="70" t="str">
        <f t="array" aca="1" ref="W14" ca="1">IF(ROW()-ROW($L$2:$L$26)+1&gt;ROWS($K$2:$K$26)-COUNTBLANK($K$2:$K$26),"",INDIRECT(ADDRESS(SMALL((IF($K$2:$K$26&lt;&gt;"",ROW($K$2:$K$26),ROW()+ROWS($K$2:$K$26))),ROW()-ROW($L$2:$L$26)+1),COLUMN($K$2:$K$26),4)))</f>
        <v>Unvollständig</v>
      </c>
      <c r="X14" s="162" t="str">
        <f t="array" aca="1" ref="X14" ca="1">IF(ROW()-ROW($M$2:$M$26)+1&gt;ROWS($L$2:$L$26)-COUNTBLANK($L$2:$L$26),"",INDIRECT(ADDRESS(SMALL((IF($L$2:$L$26&lt;&gt;"",ROW($L$2:$L$26),ROW()+ROWS($L$2:$L$26))),ROW()-ROW($M$2:$M$26)+1),COLUMN($L$2:$L$26),4)))</f>
        <v>-----</v>
      </c>
      <c r="Y14" s="162" t="str">
        <f t="array" aca="1" ref="Y14" ca="1">IF(ROW()-ROW($N$2:$N$26)+1&gt;ROWS($M$2:$M$26)-COUNTBLANK($M$2:$M$26),"",INDIRECT(ADDRESS(SMALL((IF($M$2:$M$26&lt;&gt;"",ROW($M$2:$M$26),ROW()+ROWS($M$2:$M$26))),ROW()-ROW($N$2:$N$26)+1),COLUMN($M$2:$M$26),4)))</f>
        <v>-----</v>
      </c>
    </row>
    <row r="15" spans="1:25" ht="22.5" customHeight="1" x14ac:dyDescent="0.25">
      <c r="A15" s="242" t="str">
        <f>IF('Kennzahlenbogen_(KB)'!P48=0,"",'Kennzahlenbogen_(KB)'!P48)</f>
        <v>Unvollständig</v>
      </c>
      <c r="C15" s="242" t="str">
        <f>IF($A15="I.O.","",'Kennzahlenbogen_(KB)'!A48)</f>
        <v>14a</v>
      </c>
      <c r="D15" s="161" t="str">
        <f>IF($A15="I.O.","",'Kennzahlenbogen_(KB)'!C48)</f>
        <v>Primärfälle Mammakarzinom</v>
      </c>
      <c r="E15" s="159" t="str">
        <f>IF(AND('Kennzahlenbogen_(KB)'!J48="",$A15&lt;&gt;"I.O."),"-----",IF($A15="I.O.","",'Kennzahlenbogen_(KB)'!J48))</f>
        <v>-----</v>
      </c>
      <c r="F15" s="158" t="str">
        <f>IF($A15="I.O.","",'Kennzahlenbogen_(KB)'!K48)</f>
        <v>≥ 100</v>
      </c>
      <c r="G15" s="159" t="str">
        <f>IF(AND('Kennzahlenbogen_(KB)'!M48="",$A15&lt;&gt;"I.O."),"-----",IF($A15="I.O.","",'Kennzahlenbogen_(KB)'!M48))</f>
        <v>-----</v>
      </c>
      <c r="H15" s="157">
        <f>IF($A15="I.O.","",IF('Kennzahlenbogen_(KB)'!O48="","-----",'Kennzahlenbogen_(KB)'!O48))</f>
        <v>0</v>
      </c>
      <c r="I15" s="157" t="str">
        <f>IF($A15="I.O.","","-----")</f>
        <v>-----</v>
      </c>
      <c r="J15" s="156" t="str">
        <f>IF($A15="I.O.","","-----")</f>
        <v>-----</v>
      </c>
      <c r="K15" s="242" t="str">
        <f>IF($A15="I.O.","",'Kennzahlenbogen_(KB)'!P48)</f>
        <v>Unvollständig</v>
      </c>
      <c r="L15" s="162" t="str">
        <f>IF(AND('Kennzahlenbogen_(KB)'!Q48="",$A15&lt;&gt;"I.O."),"-----",IF($A15="I.O.","",'Kennzahlenbogen_(KB)'!Q48))</f>
        <v>-----</v>
      </c>
      <c r="M15" s="162" t="str">
        <f>IF(AND('Kennzahlenbogen_(KB)'!R48="",$A15&lt;&gt;"I.O."),"-----",IF($A15="I.O.","",'Kennzahlenbogen_(KB)'!R48))</f>
        <v>-----</v>
      </c>
      <c r="O15" s="242" t="str">
        <f t="array" aca="1" ref="O15" ca="1">IF(ROW()-ROW($D$2:$D$26)+1&gt;ROWS($C$2:$C$26)-COUNTBLANK($C$2:$C$26),"",INDIRECT(ADDRESS(SMALL((IF($C$2:$C$26&lt;&gt;"",ROW($C$2:$C$26),ROW()+ROWS($C$2:$C$26))),ROW()-ROW($D$2:$D$26)+1),COLUMN($C$2:$C$26),4)))</f>
        <v>14a</v>
      </c>
      <c r="P15" s="162" t="str">
        <f t="array" aca="1" ref="P15" ca="1">IF(ROW()-ROW($E$2:$E$26)+1&gt;ROWS($D$2:$D$26)-COUNTBLANK($D$2:$D$26),"",INDIRECT(ADDRESS(SMALL((IF($D$2:$D$26&gt;"",ROW($D$2:$D$26),ROW()+ROWS($D$2:$D$26))),ROW()-ROW($E$2:$E$26)+1),COLUMN($D$2:$D$26),4)))</f>
        <v>Primärfälle Mammakarzinom</v>
      </c>
      <c r="Q15" s="159" t="str">
        <f t="array" aca="1" ref="Q15" ca="1">IF(ROW()-ROW($F$2:$F$26)+1&gt;ROWS($E$2:$E$26)-COUNTBLANK($E$2:$E$26),"",INDIRECT(ADDRESS(SMALL((IF($E$2:$E$26&gt;"",ROW($E$2:$E$26),ROW()+ROWS($E$2:$E$26))),ROW()-ROW($F$2:$F$26)+1),COLUMN($E$2:$E$26),4)))</f>
        <v>-----</v>
      </c>
      <c r="R15" s="158" t="str">
        <f t="array" aca="1" ref="R15" ca="1">IF(ROW()-ROW($G$2:$G$26)+1&gt;ROWS($F$2:$F$26)-COUNTBLANK($F$2:$F$26),"",INDIRECT(ADDRESS(SMALL((IF($F$2:$F$26&gt;"",ROW($F$2:$F$26),ROW()+ROWS($F$2:$F$26))),ROW()-ROW($G$2:$G$26)+1),COLUMN($F$2:$F$26),4)))</f>
        <v>≥ 100</v>
      </c>
      <c r="S15" s="159" t="str">
        <f t="array" aca="1" ref="S15" ca="1">IF(ROW()-ROW($H$2:$H$26)+1&gt;ROWS($G$2:$G$26)-COUNTBLANK($G$2:$G$26),"",INDIRECT(ADDRESS(SMALL((IF($G$2:$G$26&lt;&gt;"",ROW($G$2:$G$26),ROW()+ROWS($G$2:$G$26))),ROW()-ROW($H$2:$H$26)+1),COLUMN($G$2:$G$26),4)))</f>
        <v>-----</v>
      </c>
      <c r="T15" s="157">
        <f t="array" aca="1" ref="T15" ca="1">IF(ROW()-ROW($I$2:$I$26)+1&gt;ROWS($H$2:$H$26)-COUNTBLANK($H$2:$H$26),"",INDIRECT(ADDRESS(SMALL((IF($H$2:$H$26&lt;&gt;"",ROW($H$2:$H$26),ROW()+ROWS($H$2:$H$26))),ROW()-ROW($I$2:$I$26)+1),COLUMN($H$2:$H$26),4)))</f>
        <v>0</v>
      </c>
      <c r="U15" s="157" t="str">
        <f t="array" aca="1" ref="U15" ca="1">IF(ROW()-ROW($J$2:$J$26)+1&gt;ROWS($I$2:$I$26)-COUNTBLANK($I$2:$I$26),"",INDIRECT(ADDRESS(SMALL((IF($I$2:$I$26&lt;&gt;"",ROW($I$2:$I$26),ROW()+ROWS($I$2:$I$26))),ROW()-ROW($J$2:$J$26)+1),COLUMN($I$2:$I$26),4)))</f>
        <v>-----</v>
      </c>
      <c r="V15" s="159" t="str">
        <f t="array" aca="1" ref="V15" ca="1">IF(ROW()-ROW($K$2:$K$26)+1&gt;ROWS($J$2:$J$26)-COUNTBLANK($J$2:$J$26),"",INDIRECT(ADDRESS(SMALL((IF($J$2:$J$26&lt;&gt;"",ROW($J$2:$J$26),ROW()+ROWS($J$2:$J$26))),ROW()-ROW($K$2:$K$26)+1),COLUMN($J$2:$J$26),4)))</f>
        <v>-----</v>
      </c>
      <c r="W15" s="70" t="str">
        <f t="array" aca="1" ref="W15" ca="1">IF(ROW()-ROW($L$2:$L$26)+1&gt;ROWS($K$2:$K$26)-COUNTBLANK($K$2:$K$26),"",INDIRECT(ADDRESS(SMALL((IF($K$2:$K$26&lt;&gt;"",ROW($K$2:$K$26),ROW()+ROWS($K$2:$K$26))),ROW()-ROW($L$2:$L$26)+1),COLUMN($K$2:$K$26),4)))</f>
        <v>Unvollständig</v>
      </c>
      <c r="X15" s="162" t="str">
        <f t="array" aca="1" ref="X15" ca="1">IF(ROW()-ROW($M$2:$M$26)+1&gt;ROWS($L$2:$L$26)-COUNTBLANK($L$2:$L$26),"",INDIRECT(ADDRESS(SMALL((IF($L$2:$L$26&lt;&gt;"",ROW($L$2:$L$26),ROW()+ROWS($L$2:$L$26))),ROW()-ROW($M$2:$M$26)+1),COLUMN($L$2:$L$26),4)))</f>
        <v>-----</v>
      </c>
      <c r="Y15" s="162" t="str">
        <f t="array" aca="1" ref="Y15" ca="1">IF(ROW()-ROW($N$2:$N$26)+1&gt;ROWS($M$2:$M$26)-COUNTBLANK($M$2:$M$26),"",INDIRECT(ADDRESS(SMALL((IF($M$2:$M$26&lt;&gt;"",ROW($M$2:$M$26),ROW()+ROWS($M$2:$M$26))),ROW()-ROW($N$2:$N$26)+1),COLUMN($M$2:$M$26),4)))</f>
        <v>-----</v>
      </c>
    </row>
    <row r="16" spans="1:25" ht="22.5" customHeight="1" x14ac:dyDescent="0.25">
      <c r="A16" s="242" t="str">
        <f>IF('Kennzahlenbogen_(KB)'!P51=0,"",'Kennzahlenbogen_(KB)'!P51)</f>
        <v>Unvollständig</v>
      </c>
      <c r="C16" s="242" t="str">
        <f>IF($A16="I.O.","",'Kennzahlenbogen_(KB)'!A51)</f>
        <v>14b</v>
      </c>
      <c r="D16" s="161" t="str">
        <f>IF($A16="I.O.","",'Kennzahlenbogen_(KB)'!C51)</f>
        <v>Pat. mit neuaufgetretenem  (Lokal-) Rezidiv und/ oder Fernmetastasen (ohne primär M1 Pat.)</v>
      </c>
      <c r="E16" s="159" t="str">
        <f>IF(AND('Kennzahlenbogen_(KB)'!J51="",$A16&lt;&gt;"I.O."),"-----",IF($A16="I.O.","",'Kennzahlenbogen_(KB)'!J51))</f>
        <v>-----</v>
      </c>
      <c r="F16" s="158" t="str">
        <f>IF($A16="I.O.","",'Kennzahlenbogen_(KB)'!K51)</f>
        <v>Derzeit keine Vorgaben</v>
      </c>
      <c r="G16" s="159" t="str">
        <f>IF(AND('Kennzahlenbogen_(KB)'!M51="",$A16&lt;&gt;"I.O."),"-----",IF($A16="I.O.","",'Kennzahlenbogen_(KB)'!M51))</f>
        <v>-----</v>
      </c>
      <c r="H16" s="157">
        <f>IF($A16="I.O.","",IF('Kennzahlenbogen_(KB)'!O51="","-----",'Kennzahlenbogen_(KB)'!O51))</f>
        <v>0</v>
      </c>
      <c r="I16" s="157" t="str">
        <f>IF($A16="I.O.","","-----")</f>
        <v>-----</v>
      </c>
      <c r="J16" s="156" t="str">
        <f>IF($A16="I.O.","","-----")</f>
        <v>-----</v>
      </c>
      <c r="K16" s="242" t="str">
        <f>IF($A16="I.O.","",'Kennzahlenbogen_(KB)'!P51)</f>
        <v>Unvollständig</v>
      </c>
      <c r="L16" s="162" t="str">
        <f>IF(AND('Kennzahlenbogen_(KB)'!Q51="",$A16&lt;&gt;"I.O."),"-----",IF($A16="I.O.","",'Kennzahlenbogen_(KB)'!Q51))</f>
        <v>-----</v>
      </c>
      <c r="M16" s="162" t="str">
        <f>IF(AND('Kennzahlenbogen_(KB)'!R51="",$A16&lt;&gt;"I.O."),"-----",IF($A16="I.O.","",'Kennzahlenbogen_(KB)'!R51))</f>
        <v>-----</v>
      </c>
      <c r="O16" s="242" t="str">
        <f t="array" aca="1" ref="O16" ca="1">IF(ROW()-ROW($D$2:$D$26)+1&gt;ROWS($C$2:$C$26)-COUNTBLANK($C$2:$C$26),"",INDIRECT(ADDRESS(SMALL((IF($C$2:$C$26&lt;&gt;"",ROW($C$2:$C$26),ROW()+ROWS($C$2:$C$26))),ROW()-ROW($D$2:$D$26)+1),COLUMN($C$2:$C$26),4)))</f>
        <v>14b</v>
      </c>
      <c r="P16" s="162" t="str">
        <f t="array" aca="1" ref="P16" ca="1">IF(ROW()-ROW($E$2:$E$26)+1&gt;ROWS($D$2:$D$26)-COUNTBLANK($D$2:$D$26),"",INDIRECT(ADDRESS(SMALL((IF($D$2:$D$26&gt;"",ROW($D$2:$D$26),ROW()+ROWS($D$2:$D$26))),ROW()-ROW($E$2:$E$26)+1),COLUMN($D$2:$D$26),4)))</f>
        <v>Pat. mit neuaufgetretenem  (Lokal-) Rezidiv und/ oder Fernmetastasen (ohne primär M1 Pat.)</v>
      </c>
      <c r="Q16" s="159" t="str">
        <f t="array" aca="1" ref="Q16" ca="1">IF(ROW()-ROW($F$2:$F$26)+1&gt;ROWS($E$2:$E$26)-COUNTBLANK($E$2:$E$26),"",INDIRECT(ADDRESS(SMALL((IF($E$2:$E$26&gt;"",ROW($E$2:$E$26),ROW()+ROWS($E$2:$E$26))),ROW()-ROW($F$2:$F$26)+1),COLUMN($E$2:$E$26),4)))</f>
        <v>-----</v>
      </c>
      <c r="R16" s="158" t="str">
        <f t="array" aca="1" ref="R16" ca="1">IF(ROW()-ROW($G$2:$G$26)+1&gt;ROWS($F$2:$F$26)-COUNTBLANK($F$2:$F$26),"",INDIRECT(ADDRESS(SMALL((IF($F$2:$F$26&gt;"",ROW($F$2:$F$26),ROW()+ROWS($F$2:$F$26))),ROW()-ROW($G$2:$G$26)+1),COLUMN($F$2:$F$26),4)))</f>
        <v>Derzeit keine Vorgaben</v>
      </c>
      <c r="S16" s="159" t="str">
        <f t="array" aca="1" ref="S16" ca="1">IF(ROW()-ROW($H$2:$H$26)+1&gt;ROWS($G$2:$G$26)-COUNTBLANK($G$2:$G$26),"",INDIRECT(ADDRESS(SMALL((IF($G$2:$G$26&lt;&gt;"",ROW($G$2:$G$26),ROW()+ROWS($G$2:$G$26))),ROW()-ROW($H$2:$H$26)+1),COLUMN($G$2:$G$26),4)))</f>
        <v>-----</v>
      </c>
      <c r="T16" s="157">
        <f t="array" aca="1" ref="T16" ca="1">IF(ROW()-ROW($I$2:$I$26)+1&gt;ROWS($H$2:$H$26)-COUNTBLANK($H$2:$H$26),"",INDIRECT(ADDRESS(SMALL((IF($H$2:$H$26&lt;&gt;"",ROW($H$2:$H$26),ROW()+ROWS($H$2:$H$26))),ROW()-ROW($I$2:$I$26)+1),COLUMN($H$2:$H$26),4)))</f>
        <v>0</v>
      </c>
      <c r="U16" s="157" t="str">
        <f t="array" aca="1" ref="U16" ca="1">IF(ROW()-ROW($J$2:$J$26)+1&gt;ROWS($I$2:$I$26)-COUNTBLANK($I$2:$I$26),"",INDIRECT(ADDRESS(SMALL((IF($I$2:$I$26&lt;&gt;"",ROW($I$2:$I$26),ROW()+ROWS($I$2:$I$26))),ROW()-ROW($J$2:$J$26)+1),COLUMN($I$2:$I$26),4)))</f>
        <v>-----</v>
      </c>
      <c r="V16" s="159" t="str">
        <f t="array" aca="1" ref="V16" ca="1">IF(ROW()-ROW($K$2:$K$26)+1&gt;ROWS($J$2:$J$26)-COUNTBLANK($J$2:$J$26),"",INDIRECT(ADDRESS(SMALL((IF($J$2:$J$26&lt;&gt;"",ROW($J$2:$J$26),ROW()+ROWS($J$2:$J$26))),ROW()-ROW($K$2:$K$26)+1),COLUMN($J$2:$J$26),4)))</f>
        <v>-----</v>
      </c>
      <c r="W16" s="70" t="str">
        <f t="array" aca="1" ref="W16" ca="1">IF(ROW()-ROW($L$2:$L$26)+1&gt;ROWS($K$2:$K$26)-COUNTBLANK($K$2:$K$26),"",INDIRECT(ADDRESS(SMALL((IF($K$2:$K$26&lt;&gt;"",ROW($K$2:$K$26),ROW()+ROWS($K$2:$K$26))),ROW()-ROW($L$2:$L$26)+1),COLUMN($K$2:$K$26),4)))</f>
        <v>Unvollständig</v>
      </c>
      <c r="X16" s="162" t="str">
        <f t="array" aca="1" ref="X16" ca="1">IF(ROW()-ROW($M$2:$M$26)+1&gt;ROWS($L$2:$L$26)-COUNTBLANK($L$2:$L$26),"",INDIRECT(ADDRESS(SMALL((IF($L$2:$L$26&lt;&gt;"",ROW($L$2:$L$26),ROW()+ROWS($L$2:$L$26))),ROW()-ROW($M$2:$M$26)+1),COLUMN($L$2:$L$26),4)))</f>
        <v>-----</v>
      </c>
      <c r="Y16" s="162" t="str">
        <f t="array" aca="1" ref="Y16" ca="1">IF(ROW()-ROW($N$2:$N$26)+1&gt;ROWS($M$2:$M$26)-COUNTBLANK($M$2:$M$26),"",INDIRECT(ADDRESS(SMALL((IF($M$2:$M$26&lt;&gt;"",ROW($M$2:$M$26),ROW()+ROWS($M$2:$M$26))),ROW()-ROW($N$2:$N$26)+1),COLUMN($M$2:$M$26),4)))</f>
        <v>-----</v>
      </c>
    </row>
    <row r="17" spans="1:25" ht="22.5" customHeight="1" x14ac:dyDescent="0.25">
      <c r="A17" s="242" t="str">
        <f>IF('Kennzahlenbogen_(KB)'!P54=0,"",'Kennzahlenbogen_(KB)'!P54)</f>
        <v>Unvollständig</v>
      </c>
      <c r="B17" s="250"/>
      <c r="C17" s="242">
        <f>IF($A17="I.O.","",'Kennzahlenbogen_(KB)'!A54)</f>
        <v>15</v>
      </c>
      <c r="D17" s="161" t="str">
        <f>IF($A17="I.O.","",'Kennzahlenbogen_(KB)'!C54)</f>
        <v>Anzahl operative Eingriffe für R0-Resektion bei BET</v>
      </c>
      <c r="E17" s="159" t="str">
        <f>IF(AND('Kennzahlenbogen_(KB)'!J54="",$A17&lt;&gt;"I.O."),"-----",IF($A17="I.O.","",'Kennzahlenbogen_(KB)'!J54))</f>
        <v>&lt; 70%</v>
      </c>
      <c r="F17" s="158" t="str">
        <f>IF($A17="I.O.","",'Kennzahlenbogen_(KB)'!K54)</f>
        <v>Derzeit keine Vorgaben</v>
      </c>
      <c r="G17" s="159" t="str">
        <f>IF(AND('Kennzahlenbogen_(KB)'!M54="",$A17&lt;&gt;"I.O."),"-----",IF($A17="I.O.","",'Kennzahlenbogen_(KB)'!M54))</f>
        <v>-----</v>
      </c>
      <c r="H17" s="157" t="str">
        <f>IF($A17="I.O.","",IF('Kennzahlenbogen_(KB)'!O54="","-----",'Kennzahlenbogen_(KB)'!O54))</f>
        <v>-----</v>
      </c>
      <c r="I17" s="157" t="str">
        <f>IF($A17="I.O.","",IF('Kennzahlenbogen_(KB)'!O55="","-----",'Kennzahlenbogen_(KB)'!O55))</f>
        <v>-----</v>
      </c>
      <c r="J17" s="156" t="str">
        <f>IF($A17="I.O.","",IF('Kennzahlenbogen_(KB)'!O56="",0,'Kennzahlenbogen_(KB)'!O56))</f>
        <v>n.d.</v>
      </c>
      <c r="K17" s="242" t="str">
        <f>IF($A17="I.O.","",'Kennzahlenbogen_(KB)'!P54)</f>
        <v>Unvollständig</v>
      </c>
      <c r="L17" s="162" t="str">
        <f>IF(AND('Kennzahlenbogen_(KB)'!Q54="",$A17&lt;&gt;"I.O."),"-----",IF($A17="I.O.","",'Kennzahlenbogen_(KB)'!Q54))</f>
        <v>-----</v>
      </c>
      <c r="M17" s="162" t="str">
        <f>IF(AND('Kennzahlenbogen_(KB)'!R54="",$A17&lt;&gt;"I.O."),"-----",IF($A17="I.O.","",'Kennzahlenbogen_(KB)'!R54))</f>
        <v>-----</v>
      </c>
      <c r="O17" s="242">
        <f t="array" aca="1" ref="O17" ca="1">IF(ROW()-ROW($D$2:$D$26)+1&gt;ROWS($C$2:$C$26)-COUNTBLANK($C$2:$C$26),"",INDIRECT(ADDRESS(SMALL((IF($C$2:$C$26&lt;&gt;"",ROW($C$2:$C$26),ROW()+ROWS($C$2:$C$26))),ROW()-ROW($D$2:$D$26)+1),COLUMN($C$2:$C$26),4)))</f>
        <v>15</v>
      </c>
      <c r="P17" s="162" t="str">
        <f t="array" aca="1" ref="P17" ca="1">IF(ROW()-ROW($E$2:$E$26)+1&gt;ROWS($D$2:$D$26)-COUNTBLANK($D$2:$D$26),"",INDIRECT(ADDRESS(SMALL((IF($D$2:$D$26&gt;"",ROW($D$2:$D$26),ROW()+ROWS($D$2:$D$26))),ROW()-ROW($E$2:$E$26)+1),COLUMN($D$2:$D$26),4)))</f>
        <v>Anzahl operative Eingriffe für R0-Resektion bei BET</v>
      </c>
      <c r="Q17" s="159" t="str">
        <f t="array" aca="1" ref="Q17" ca="1">IF(ROW()-ROW($F$2:$F$26)+1&gt;ROWS($E$2:$E$26)-COUNTBLANK($E$2:$E$26),"",INDIRECT(ADDRESS(SMALL((IF($E$2:$E$26&gt;"",ROW($E$2:$E$26),ROW()+ROWS($E$2:$E$26))),ROW()-ROW($F$2:$F$26)+1),COLUMN($E$2:$E$26),4)))</f>
        <v>&lt; 70%</v>
      </c>
      <c r="R17" s="158" t="str">
        <f t="array" aca="1" ref="R17" ca="1">IF(ROW()-ROW($G$2:$G$26)+1&gt;ROWS($F$2:$F$26)-COUNTBLANK($F$2:$F$26),"",INDIRECT(ADDRESS(SMALL((IF($F$2:$F$26&gt;"",ROW($F$2:$F$26),ROW()+ROWS($F$2:$F$26))),ROW()-ROW($G$2:$G$26)+1),COLUMN($F$2:$F$26),4)))</f>
        <v>Derzeit keine Vorgaben</v>
      </c>
      <c r="S17" s="159" t="str">
        <f t="array" aca="1" ref="S17" ca="1">IF(ROW()-ROW($H$2:$H$26)+1&gt;ROWS($G$2:$G$26)-COUNTBLANK($G$2:$G$26),"",INDIRECT(ADDRESS(SMALL((IF($G$2:$G$26&lt;&gt;"",ROW($G$2:$G$26),ROW()+ROWS($G$2:$G$26))),ROW()-ROW($H$2:$H$26)+1),COLUMN($G$2:$G$26),4)))</f>
        <v>-----</v>
      </c>
      <c r="T17" s="157" t="str">
        <f t="array" aca="1" ref="T17" ca="1">IF(ROW()-ROW($I$2:$I$26)+1&gt;ROWS($H$2:$H$26)-COUNTBLANK($H$2:$H$26),"",INDIRECT(ADDRESS(SMALL((IF($H$2:$H$26&lt;&gt;"",ROW($H$2:$H$26),ROW()+ROWS($H$2:$H$26))),ROW()-ROW($I$2:$I$26)+1),COLUMN($H$2:$H$26),4)))</f>
        <v>-----</v>
      </c>
      <c r="U17" s="157" t="str">
        <f t="array" aca="1" ref="U17" ca="1">IF(ROW()-ROW($J$2:$J$26)+1&gt;ROWS($I$2:$I$26)-COUNTBLANK($I$2:$I$26),"",INDIRECT(ADDRESS(SMALL((IF($I$2:$I$26&lt;&gt;"",ROW($I$2:$I$26),ROW()+ROWS($I$2:$I$26))),ROW()-ROW($J$2:$J$26)+1),COLUMN($I$2:$I$26),4)))</f>
        <v>-----</v>
      </c>
      <c r="V17" s="159" t="str">
        <f t="array" aca="1" ref="V17" ca="1">IF(ROW()-ROW($K$2:$K$26)+1&gt;ROWS($J$2:$J$26)-COUNTBLANK($J$2:$J$26),"",INDIRECT(ADDRESS(SMALL((IF($J$2:$J$26&lt;&gt;"",ROW($J$2:$J$26),ROW()+ROWS($J$2:$J$26))),ROW()-ROW($K$2:$K$26)+1),COLUMN($J$2:$J$26),4)))</f>
        <v>n.d.</v>
      </c>
      <c r="W17" s="70" t="str">
        <f t="array" aca="1" ref="W17" ca="1">IF(ROW()-ROW($L$2:$L$26)+1&gt;ROWS($K$2:$K$26)-COUNTBLANK($K$2:$K$26),"",INDIRECT(ADDRESS(SMALL((IF($K$2:$K$26&lt;&gt;"",ROW($K$2:$K$26),ROW()+ROWS($K$2:$K$26))),ROW()-ROW($L$2:$L$26)+1),COLUMN($K$2:$K$26),4)))</f>
        <v>Unvollständig</v>
      </c>
      <c r="X17" s="162" t="str">
        <f t="array" aca="1" ref="X17" ca="1">IF(ROW()-ROW($M$2:$M$26)+1&gt;ROWS($L$2:$L$26)-COUNTBLANK($L$2:$L$26),"",INDIRECT(ADDRESS(SMALL((IF($L$2:$L$26&lt;&gt;"",ROW($L$2:$L$26),ROW()+ROWS($L$2:$L$26))),ROW()-ROW($M$2:$M$26)+1),COLUMN($L$2:$L$26),4)))</f>
        <v>-----</v>
      </c>
      <c r="Y17" s="162" t="str">
        <f t="array" aca="1" ref="Y17" ca="1">IF(ROW()-ROW($N$2:$N$26)+1&gt;ROWS($M$2:$M$26)-COUNTBLANK($M$2:$M$26),"",INDIRECT(ADDRESS(SMALL((IF($M$2:$M$26&lt;&gt;"",ROW($M$2:$M$26),ROW()+ROWS($M$2:$M$26))),ROW()-ROW($N$2:$N$26)+1),COLUMN($M$2:$M$26),4)))</f>
        <v>-----</v>
      </c>
    </row>
    <row r="18" spans="1:25" ht="22.5" customHeight="1" x14ac:dyDescent="0.25">
      <c r="A18" s="242" t="str">
        <f>IF('Kennzahlenbogen_(KB)'!P57=0,"",'Kennzahlenbogen_(KB)'!P57)</f>
        <v>Unvollständig</v>
      </c>
      <c r="C18" s="242">
        <f>IF($A18="I.O.","",'Kennzahlenbogen_(KB)'!A57)</f>
        <v>16</v>
      </c>
      <c r="D18" s="161" t="str">
        <f>IF($A18="I.O.","",'Kennzahlenbogen_(KB)'!C57)</f>
        <v>Brusterhaltendes Vorgehen bei pT1 (inkl. (y)pT1 u. (y)pT0)</v>
      </c>
      <c r="E18" s="159" t="str">
        <f>IF(AND('Kennzahlenbogen_(KB)'!J57="",$A18&lt;&gt;"I.O."),"-----",IF($A18="I.O.","",'Kennzahlenbogen_(KB)'!J57))</f>
        <v>-----</v>
      </c>
      <c r="F18" s="158" t="str">
        <f>IF($A18="I.O.","",'Kennzahlenbogen_(KB)'!K57)</f>
        <v>≥ 70%</v>
      </c>
      <c r="G18" s="159" t="str">
        <f>IF(AND('Kennzahlenbogen_(KB)'!M57="",$A18&lt;&gt;"I.O."),"-----",IF($A18="I.O.","",'Kennzahlenbogen_(KB)'!M57))</f>
        <v>-----</v>
      </c>
      <c r="H18" s="157" t="str">
        <f>IF($A18="I.O.","",IF('Kennzahlenbogen_(KB)'!O57="","-----",'Kennzahlenbogen_(KB)'!O57))</f>
        <v>-----</v>
      </c>
      <c r="I18" s="157" t="str">
        <f>IF($A18="I.O.","",IF('Kennzahlenbogen_(KB)'!O58="","-----",'Kennzahlenbogen_(KB)'!O58))</f>
        <v>-----</v>
      </c>
      <c r="J18" s="156" t="str">
        <f>IF($A18="I.O.","",IF('Kennzahlenbogen_(KB)'!O59="",0,'Kennzahlenbogen_(KB)'!O59))</f>
        <v>n.d.</v>
      </c>
      <c r="K18" s="242" t="str">
        <f>IF($A18="I.O.","",'Kennzahlenbogen_(KB)'!P57)</f>
        <v>Unvollständig</v>
      </c>
      <c r="L18" s="162" t="str">
        <f>IF(AND('Kennzahlenbogen_(KB)'!Q57="",$A18&lt;&gt;"I.O."),"-----",IF($A18="I.O.","",'Kennzahlenbogen_(KB)'!Q57))</f>
        <v>-----</v>
      </c>
      <c r="M18" s="162" t="str">
        <f>IF(AND('Kennzahlenbogen_(KB)'!R57="",$A18&lt;&gt;"I.O."),"-----",IF($A18="I.O.","",'Kennzahlenbogen_(KB)'!R57))</f>
        <v>-----</v>
      </c>
      <c r="O18" s="242">
        <f t="array" aca="1" ref="O18" ca="1">IF(ROW()-ROW($D$2:$D$26)+1&gt;ROWS($C$2:$C$26)-COUNTBLANK($C$2:$C$26),"",INDIRECT(ADDRESS(SMALL((IF($C$2:$C$26&lt;&gt;"",ROW($C$2:$C$26),ROW()+ROWS($C$2:$C$26))),ROW()-ROW($D$2:$D$26)+1),COLUMN($C$2:$C$26),4)))</f>
        <v>16</v>
      </c>
      <c r="P18" s="162" t="str">
        <f t="array" aca="1" ref="P18" ca="1">IF(ROW()-ROW($E$2:$E$26)+1&gt;ROWS($D$2:$D$26)-COUNTBLANK($D$2:$D$26),"",INDIRECT(ADDRESS(SMALL((IF($D$2:$D$26&gt;"",ROW($D$2:$D$26),ROW()+ROWS($D$2:$D$26))),ROW()-ROW($E$2:$E$26)+1),COLUMN($D$2:$D$26),4)))</f>
        <v>Brusterhaltendes Vorgehen bei pT1 (inkl. (y)pT1 u. (y)pT0)</v>
      </c>
      <c r="Q18" s="159" t="str">
        <f t="array" aca="1" ref="Q18" ca="1">IF(ROW()-ROW($F$2:$F$26)+1&gt;ROWS($E$2:$E$26)-COUNTBLANK($E$2:$E$26),"",INDIRECT(ADDRESS(SMALL((IF($E$2:$E$26&gt;"",ROW($E$2:$E$26),ROW()+ROWS($E$2:$E$26))),ROW()-ROW($F$2:$F$26)+1),COLUMN($E$2:$E$26),4)))</f>
        <v>-----</v>
      </c>
      <c r="R18" s="158" t="str">
        <f t="array" aca="1" ref="R18" ca="1">IF(ROW()-ROW($G$2:$G$26)+1&gt;ROWS($F$2:$F$26)-COUNTBLANK($F$2:$F$26),"",INDIRECT(ADDRESS(SMALL((IF($F$2:$F$26&gt;"",ROW($F$2:$F$26),ROW()+ROWS($F$2:$F$26))),ROW()-ROW($G$2:$G$26)+1),COLUMN($F$2:$F$26),4)))</f>
        <v>≥ 70%</v>
      </c>
      <c r="S18" s="159" t="str">
        <f t="array" aca="1" ref="S18" ca="1">IF(ROW()-ROW($H$2:$H$26)+1&gt;ROWS($G$2:$G$26)-COUNTBLANK($G$2:$G$26),"",INDIRECT(ADDRESS(SMALL((IF($G$2:$G$26&lt;&gt;"",ROW($G$2:$G$26),ROW()+ROWS($G$2:$G$26))),ROW()-ROW($H$2:$H$26)+1),COLUMN($G$2:$G$26),4)))</f>
        <v>-----</v>
      </c>
      <c r="T18" s="157" t="str">
        <f t="array" aca="1" ref="T18" ca="1">IF(ROW()-ROW($I$2:$I$26)+1&gt;ROWS($H$2:$H$26)-COUNTBLANK($H$2:$H$26),"",INDIRECT(ADDRESS(SMALL((IF($H$2:$H$26&lt;&gt;"",ROW($H$2:$H$26),ROW()+ROWS($H$2:$H$26))),ROW()-ROW($I$2:$I$26)+1),COLUMN($H$2:$H$26),4)))</f>
        <v>-----</v>
      </c>
      <c r="U18" s="157" t="str">
        <f t="array" aca="1" ref="U18" ca="1">IF(ROW()-ROW($J$2:$J$26)+1&gt;ROWS($I$2:$I$26)-COUNTBLANK($I$2:$I$26),"",INDIRECT(ADDRESS(SMALL((IF($I$2:$I$26&lt;&gt;"",ROW($I$2:$I$26),ROW()+ROWS($I$2:$I$26))),ROW()-ROW($J$2:$J$26)+1),COLUMN($I$2:$I$26),4)))</f>
        <v>-----</v>
      </c>
      <c r="V18" s="159" t="str">
        <f t="array" aca="1" ref="V18" ca="1">IF(ROW()-ROW($K$2:$K$26)+1&gt;ROWS($J$2:$J$26)-COUNTBLANK($J$2:$J$26),"",INDIRECT(ADDRESS(SMALL((IF($J$2:$J$26&lt;&gt;"",ROW($J$2:$J$26),ROW()+ROWS($J$2:$J$26))),ROW()-ROW($K$2:$K$26)+1),COLUMN($J$2:$J$26),4)))</f>
        <v>n.d.</v>
      </c>
      <c r="W18" s="70" t="str">
        <f t="array" aca="1" ref="W18" ca="1">IF(ROW()-ROW($L$2:$L$26)+1&gt;ROWS($K$2:$K$26)-COUNTBLANK($K$2:$K$26),"",INDIRECT(ADDRESS(SMALL((IF($K$2:$K$26&lt;&gt;"",ROW($K$2:$K$26),ROW()+ROWS($K$2:$K$26))),ROW()-ROW($L$2:$L$26)+1),COLUMN($K$2:$K$26),4)))</f>
        <v>Unvollständig</v>
      </c>
      <c r="X18" s="162" t="str">
        <f t="array" aca="1" ref="X18" ca="1">IF(ROW()-ROW($M$2:$M$26)+1&gt;ROWS($L$2:$L$26)-COUNTBLANK($L$2:$L$26),"",INDIRECT(ADDRESS(SMALL((IF($L$2:$L$26&lt;&gt;"",ROW($L$2:$L$26),ROW()+ROWS($L$2:$L$26))),ROW()-ROW($M$2:$M$26)+1),COLUMN($L$2:$L$26),4)))</f>
        <v>-----</v>
      </c>
      <c r="Y18" s="162" t="str">
        <f t="array" aca="1" ref="Y18" ca="1">IF(ROW()-ROW($N$2:$N$26)+1&gt;ROWS($M$2:$M$26)-COUNTBLANK($M$2:$M$26),"",INDIRECT(ADDRESS(SMALL((IF($M$2:$M$26&lt;&gt;"",ROW($M$2:$M$26),ROW()+ROWS($M$2:$M$26))),ROW()-ROW($N$2:$N$26)+1),COLUMN($M$2:$M$26),4)))</f>
        <v>-----</v>
      </c>
    </row>
    <row r="19" spans="1:25" ht="22.5" customHeight="1" x14ac:dyDescent="0.25">
      <c r="A19" s="242" t="str">
        <f>IF('Kennzahlenbogen_(KB)'!P60=0,"",'Kennzahlenbogen_(KB)'!P60)</f>
        <v>Unvollständig</v>
      </c>
      <c r="C19" s="242">
        <f>IF($A19="I.O.","",'Kennzahlenbogen_(KB)'!A60)</f>
        <v>17</v>
      </c>
      <c r="D19" s="161" t="str">
        <f>IF($A19="I.O.","",'Kennzahlenbogen_(KB)'!C60)</f>
        <v>Mastektomien</v>
      </c>
      <c r="E19" s="159" t="str">
        <f>IF(AND('Kennzahlenbogen_(KB)'!J60="",$A19&lt;&gt;"I.O."),"-----",IF($A19="I.O.","",'Kennzahlenbogen_(KB)'!J60))</f>
        <v>&lt; 15%</v>
      </c>
      <c r="F19" s="158" t="str">
        <f>IF($A19="I.O.","",'Kennzahlenbogen_(KB)'!K60)</f>
        <v>Derzeit keine Vorgaben</v>
      </c>
      <c r="G19" s="159" t="str">
        <f>IF(AND('Kennzahlenbogen_(KB)'!M60="",$A19&lt;&gt;"I.O."),"-----",IF($A19="I.O.","",'Kennzahlenbogen_(KB)'!M60))</f>
        <v>&gt; 40%</v>
      </c>
      <c r="H19" s="157">
        <f>IF($A19="I.O.","",IF('Kennzahlenbogen_(KB)'!O60="","-----",'Kennzahlenbogen_(KB)'!O60))</f>
        <v>0</v>
      </c>
      <c r="I19" s="157">
        <f>IF($A19="I.O.","",IF('Kennzahlenbogen_(KB)'!O61="","-----",'Kennzahlenbogen_(KB)'!O61))</f>
        <v>0</v>
      </c>
      <c r="J19" s="156" t="str">
        <f>IF($A19="I.O.","",IF('Kennzahlenbogen_(KB)'!O62="",0,'Kennzahlenbogen_(KB)'!O62))</f>
        <v>n.d.</v>
      </c>
      <c r="K19" s="242" t="str">
        <f>IF($A19="I.O.","",'Kennzahlenbogen_(KB)'!P60)</f>
        <v>Unvollständig</v>
      </c>
      <c r="L19" s="162" t="str">
        <f>IF(AND('Kennzahlenbogen_(KB)'!Q60="",$A19&lt;&gt;"I.O."),"-----",IF($A19="I.O.","",'Kennzahlenbogen_(KB)'!Q60))</f>
        <v>-----</v>
      </c>
      <c r="M19" s="162" t="str">
        <f>IF(AND('Kennzahlenbogen_(KB)'!R60="",$A19&lt;&gt;"I.O."),"-----",IF($A19="I.O.","",'Kennzahlenbogen_(KB)'!R60))</f>
        <v>-----</v>
      </c>
      <c r="O19" s="242">
        <f t="array" aca="1" ref="O19" ca="1">IF(ROW()-ROW($D$2:$D$26)+1&gt;ROWS($C$2:$C$26)-COUNTBLANK($C$2:$C$26),"",INDIRECT(ADDRESS(SMALL((IF($C$2:$C$26&lt;&gt;"",ROW($C$2:$C$26),ROW()+ROWS($C$2:$C$26))),ROW()-ROW($D$2:$D$26)+1),COLUMN($C$2:$C$26),4)))</f>
        <v>17</v>
      </c>
      <c r="P19" s="162" t="str">
        <f t="array" aca="1" ref="P19" ca="1">IF(ROW()-ROW($E$2:$E$26)+1&gt;ROWS($D$2:$D$26)-COUNTBLANK($D$2:$D$26),"",INDIRECT(ADDRESS(SMALL((IF($D$2:$D$26&gt;"",ROW($D$2:$D$26),ROW()+ROWS($D$2:$D$26))),ROW()-ROW($E$2:$E$26)+1),COLUMN($D$2:$D$26),4)))</f>
        <v>Mastektomien</v>
      </c>
      <c r="Q19" s="159" t="str">
        <f t="array" aca="1" ref="Q19" ca="1">IF(ROW()-ROW($F$2:$F$26)+1&gt;ROWS($E$2:$E$26)-COUNTBLANK($E$2:$E$26),"",INDIRECT(ADDRESS(SMALL((IF($E$2:$E$26&gt;"",ROW($E$2:$E$26),ROW()+ROWS($E$2:$E$26))),ROW()-ROW($F$2:$F$26)+1),COLUMN($E$2:$E$26),4)))</f>
        <v>&lt; 15%</v>
      </c>
      <c r="R19" s="158" t="str">
        <f t="array" aca="1" ref="R19" ca="1">IF(ROW()-ROW($G$2:$G$26)+1&gt;ROWS($F$2:$F$26)-COUNTBLANK($F$2:$F$26),"",INDIRECT(ADDRESS(SMALL((IF($F$2:$F$26&gt;"",ROW($F$2:$F$26),ROW()+ROWS($F$2:$F$26))),ROW()-ROW($G$2:$G$26)+1),COLUMN($F$2:$F$26),4)))</f>
        <v>Derzeit keine Vorgaben</v>
      </c>
      <c r="S19" s="159" t="str">
        <f t="array" aca="1" ref="S19" ca="1">IF(ROW()-ROW($H$2:$H$26)+1&gt;ROWS($G$2:$G$26)-COUNTBLANK($G$2:$G$26),"",INDIRECT(ADDRESS(SMALL((IF($G$2:$G$26&lt;&gt;"",ROW($G$2:$G$26),ROW()+ROWS($G$2:$G$26))),ROW()-ROW($H$2:$H$26)+1),COLUMN($G$2:$G$26),4)))</f>
        <v>&gt; 40%</v>
      </c>
      <c r="T19" s="157">
        <f t="array" aca="1" ref="T19" ca="1">IF(ROW()-ROW($I$2:$I$26)+1&gt;ROWS($H$2:$H$26)-COUNTBLANK($H$2:$H$26),"",INDIRECT(ADDRESS(SMALL((IF($H$2:$H$26&lt;&gt;"",ROW($H$2:$H$26),ROW()+ROWS($H$2:$H$26))),ROW()-ROW($I$2:$I$26)+1),COLUMN($H$2:$H$26),4)))</f>
        <v>0</v>
      </c>
      <c r="U19" s="157">
        <f t="array" aca="1" ref="U19" ca="1">IF(ROW()-ROW($J$2:$J$26)+1&gt;ROWS($I$2:$I$26)-COUNTBLANK($I$2:$I$26),"",INDIRECT(ADDRESS(SMALL((IF($I$2:$I$26&lt;&gt;"",ROW($I$2:$I$26),ROW()+ROWS($I$2:$I$26))),ROW()-ROW($J$2:$J$26)+1),COLUMN($I$2:$I$26),4)))</f>
        <v>0</v>
      </c>
      <c r="V19" s="159" t="str">
        <f t="array" aca="1" ref="V19" ca="1">IF(ROW()-ROW($K$2:$K$26)+1&gt;ROWS($J$2:$J$26)-COUNTBLANK($J$2:$J$26),"",INDIRECT(ADDRESS(SMALL((IF($J$2:$J$26&lt;&gt;"",ROW($J$2:$J$26),ROW()+ROWS($J$2:$J$26))),ROW()-ROW($K$2:$K$26)+1),COLUMN($J$2:$J$26),4)))</f>
        <v>n.d.</v>
      </c>
      <c r="W19" s="70" t="str">
        <f t="array" aca="1" ref="W19" ca="1">IF(ROW()-ROW($L$2:$L$26)+1&gt;ROWS($K$2:$K$26)-COUNTBLANK($K$2:$K$26),"",INDIRECT(ADDRESS(SMALL((IF($K$2:$K$26&lt;&gt;"",ROW($K$2:$K$26),ROW()+ROWS($K$2:$K$26))),ROW()-ROW($L$2:$L$26)+1),COLUMN($K$2:$K$26),4)))</f>
        <v>Unvollständig</v>
      </c>
      <c r="X19" s="162" t="str">
        <f t="array" aca="1" ref="X19" ca="1">IF(ROW()-ROW($M$2:$M$26)+1&gt;ROWS($L$2:$L$26)-COUNTBLANK($L$2:$L$26),"",INDIRECT(ADDRESS(SMALL((IF($L$2:$L$26&lt;&gt;"",ROW($L$2:$L$26),ROW()+ROWS($L$2:$L$26))),ROW()-ROW($M$2:$M$26)+1),COLUMN($L$2:$L$26),4)))</f>
        <v>-----</v>
      </c>
      <c r="Y19" s="162" t="str">
        <f t="array" aca="1" ref="Y19" ca="1">IF(ROW()-ROW($N$2:$N$26)+1&gt;ROWS($M$2:$M$26)-COUNTBLANK($M$2:$M$26),"",INDIRECT(ADDRESS(SMALL((IF($M$2:$M$26&lt;&gt;"",ROW($M$2:$M$26),ROW()+ROWS($M$2:$M$26))),ROW()-ROW($N$2:$N$26)+1),COLUMN($M$2:$M$26),4)))</f>
        <v>-----</v>
      </c>
    </row>
    <row r="20" spans="1:25" ht="22.5" customHeight="1" x14ac:dyDescent="0.25">
      <c r="A20" s="242" t="str">
        <f>IF('Kennzahlenbogen_(KB)'!P63=0,"",'Kennzahlenbogen_(KB)'!P63)</f>
        <v>Unvollständig</v>
      </c>
      <c r="C20" s="345">
        <f>IF($A20="I.O.","",'Kennzahlenbogen_(KB)'!A63)</f>
        <v>18</v>
      </c>
      <c r="D20" s="390" t="str">
        <f>IF($A20="I.O.","",'Kennzahlenbogen_(KB)'!C63)</f>
        <v>LK-Entfernung bei DCIS</v>
      </c>
      <c r="E20" s="391" t="str">
        <f>IF(AND('Kennzahlenbogen_(KB)'!J63="",$A20&lt;&gt;"I.O."),"-----",IF($A20="I.O.","",'Kennzahlenbogen_(KB)'!J63))</f>
        <v>-----</v>
      </c>
      <c r="F20" s="392" t="str">
        <f>IF($A20="I.O.","",'Kennzahlenbogen_(KB)'!K63)</f>
        <v>≤ 5%</v>
      </c>
      <c r="G20" s="391" t="str">
        <f>IF(AND('Kennzahlenbogen_(KB)'!M63="",$A20&lt;&gt;"I.O."),"-----",IF($A20="I.O.","",'Kennzahlenbogen_(KB)'!M63))</f>
        <v>-----</v>
      </c>
      <c r="H20" s="393" t="str">
        <f>IF($A20="I.O.","",IF('Kennzahlenbogen_(KB)'!O63="","-----",'Kennzahlenbogen_(KB)'!O63))</f>
        <v>-----</v>
      </c>
      <c r="I20" s="393" t="str">
        <f>IF($A20="I.O.","",IF('Kennzahlenbogen_(KB)'!O64="","-----",'Kennzahlenbogen_(KB)'!O64))</f>
        <v>-----</v>
      </c>
      <c r="J20" s="394" t="str">
        <f>IF($A20="I.O.","",IF('Kennzahlenbogen_(KB)'!O65="","-----",'Kennzahlenbogen_(KB)'!O65))</f>
        <v>n.d.</v>
      </c>
      <c r="K20" s="345" t="str">
        <f>IF($A20="I.O.","",'Kennzahlenbogen_(KB)'!P63)</f>
        <v>Unvollständig</v>
      </c>
      <c r="L20" s="395" t="str">
        <f>IF(AND('Kennzahlenbogen_(KB)'!Q63="",$A20&lt;&gt;"I.O."),"-----",IF($A20="I.O.","",'Kennzahlenbogen_(KB)'!Q63))</f>
        <v>-----</v>
      </c>
      <c r="M20" s="395" t="str">
        <f>IF(AND('Kennzahlenbogen_(KB)'!R63="",$A20&lt;&gt;"I.O."),"-----",IF($A20="I.O.","",'Kennzahlenbogen_(KB)'!R63))</f>
        <v>-----</v>
      </c>
      <c r="O20" s="242">
        <f t="array" aca="1" ref="O20" ca="1">IF(ROW()-ROW($D$2:$D$26)+1&gt;ROWS($C$2:$C$26)-COUNTBLANK($C$2:$C$26),"",INDIRECT(ADDRESS(SMALL((IF($C$2:$C$26&lt;&gt;"",ROW($C$2:$C$26),ROW()+ROWS($C$2:$C$26))),ROW()-ROW($D$2:$D$26)+1),COLUMN($C$2:$C$26),4)))</f>
        <v>18</v>
      </c>
      <c r="P20" s="162" t="str">
        <f t="array" aca="1" ref="P20" ca="1">IF(ROW()-ROW($E$2:$E$26)+1&gt;ROWS($D$2:$D$26)-COUNTBLANK($D$2:$D$26),"",INDIRECT(ADDRESS(SMALL((IF($D$2:$D$26&gt;"",ROW($D$2:$D$26),ROW()+ROWS($D$2:$D$26))),ROW()-ROW($E$2:$E$26)+1),COLUMN($D$2:$D$26),4)))</f>
        <v>LK-Entfernung bei DCIS</v>
      </c>
      <c r="Q20" s="159" t="str">
        <f t="array" aca="1" ref="Q20" ca="1">IF(ROW()-ROW($F$2:$F$26)+1&gt;ROWS($E$2:$E$26)-COUNTBLANK($E$2:$E$26),"",INDIRECT(ADDRESS(SMALL((IF($E$2:$E$26&gt;"",ROW($E$2:$E$26),ROW()+ROWS($E$2:$E$26))),ROW()-ROW($F$2:$F$26)+1),COLUMN($E$2:$E$26),4)))</f>
        <v>-----</v>
      </c>
      <c r="R20" s="158" t="str">
        <f t="array" aca="1" ref="R20" ca="1">IF(ROW()-ROW($G$2:$G$26)+1&gt;ROWS($F$2:$F$26)-COUNTBLANK($F$2:$F$26),"",INDIRECT(ADDRESS(SMALL((IF($F$2:$F$26&gt;"",ROW($F$2:$F$26),ROW()+ROWS($F$2:$F$26))),ROW()-ROW($G$2:$G$26)+1),COLUMN($F$2:$F$26),4)))</f>
        <v>≤ 5%</v>
      </c>
      <c r="S20" s="159" t="str">
        <f t="array" aca="1" ref="S20" ca="1">IF(ROW()-ROW($H$2:$H$26)+1&gt;ROWS($G$2:$G$26)-COUNTBLANK($G$2:$G$26),"",INDIRECT(ADDRESS(SMALL((IF($G$2:$G$26&lt;&gt;"",ROW($G$2:$G$26),ROW()+ROWS($G$2:$G$26))),ROW()-ROW($H$2:$H$26)+1),COLUMN($G$2:$G$26),4)))</f>
        <v>-----</v>
      </c>
      <c r="T20" s="157" t="str">
        <f t="array" aca="1" ref="T20" ca="1">IF(ROW()-ROW($I$2:$I$26)+1&gt;ROWS($H$2:$H$26)-COUNTBLANK($H$2:$H$26),"",INDIRECT(ADDRESS(SMALL((IF($H$2:$H$26&lt;&gt;"",ROW($H$2:$H$26),ROW()+ROWS($H$2:$H$26))),ROW()-ROW($I$2:$I$26)+1),COLUMN($H$2:$H$26),4)))</f>
        <v>-----</v>
      </c>
      <c r="U20" s="157" t="str">
        <f t="array" aca="1" ref="U20" ca="1">IF(ROW()-ROW($J$2:$J$26)+1&gt;ROWS($I$2:$I$26)-COUNTBLANK($I$2:$I$26),"",INDIRECT(ADDRESS(SMALL((IF($I$2:$I$26&lt;&gt;"",ROW($I$2:$I$26),ROW()+ROWS($I$2:$I$26))),ROW()-ROW($J$2:$J$26)+1),COLUMN($I$2:$I$26),4)))</f>
        <v>-----</v>
      </c>
      <c r="V20" s="159" t="str">
        <f t="array" aca="1" ref="V20" ca="1">IF(ROW()-ROW($K$2:$K$26)+1&gt;ROWS($J$2:$J$26)-COUNTBLANK($J$2:$J$26),"",INDIRECT(ADDRESS(SMALL((IF($J$2:$J$26&lt;&gt;"",ROW($J$2:$J$26),ROW()+ROWS($J$2:$J$26))),ROW()-ROW($K$2:$K$26)+1),COLUMN($J$2:$J$26),4)))</f>
        <v>n.d.</v>
      </c>
      <c r="W20" s="70" t="str">
        <f t="array" aca="1" ref="W20" ca="1">IF(ROW()-ROW($L$2:$L$26)+1&gt;ROWS($K$2:$K$26)-COUNTBLANK($K$2:$K$26),"",INDIRECT(ADDRESS(SMALL((IF($K$2:$K$26&lt;&gt;"",ROW($K$2:$K$26),ROW()+ROWS($K$2:$K$26))),ROW()-ROW($L$2:$L$26)+1),COLUMN($K$2:$K$26),4)))</f>
        <v>Unvollständig</v>
      </c>
      <c r="X20" s="162" t="str">
        <f t="array" aca="1" ref="X20" ca="1">IF(ROW()-ROW($M$2:$M$26)+1&gt;ROWS($L$2:$L$26)-COUNTBLANK($L$2:$L$26),"",INDIRECT(ADDRESS(SMALL((IF($L$2:$L$26&lt;&gt;"",ROW($L$2:$L$26),ROW()+ROWS($L$2:$L$26))),ROW()-ROW($M$2:$M$26)+1),COLUMN($L$2:$L$26),4)))</f>
        <v>-----</v>
      </c>
      <c r="Y20" s="162" t="str">
        <f t="array" aca="1" ref="Y20" ca="1">IF(ROW()-ROW($N$2:$N$26)+1&gt;ROWS($M$2:$M$26)-COUNTBLANK($M$2:$M$26),"",INDIRECT(ADDRESS(SMALL((IF($M$2:$M$26&lt;&gt;"",ROW($M$2:$M$26),ROW()+ROWS($M$2:$M$26))),ROW()-ROW($N$2:$N$26)+1),COLUMN($M$2:$M$26),4)))</f>
        <v>-----</v>
      </c>
    </row>
    <row r="21" spans="1:25" ht="22.5" customHeight="1" x14ac:dyDescent="0.25">
      <c r="A21" s="242" t="str">
        <f>IF('Kennzahlenbogen_(KB)'!P66=0,"",'Kennzahlenbogen_(KB)'!P66)</f>
        <v>Unvollständig</v>
      </c>
      <c r="C21" s="242">
        <f>IF($A21="I.O.","",'Kennzahlenbogen_(KB)'!A66)</f>
        <v>19</v>
      </c>
      <c r="D21" s="161" t="str">
        <f>IF($A21="I.O.","",'Kennzahlenbogen_(KB)'!C66)</f>
        <v>Bestimmung Nodalstatus bei invasivem Mammakarzinom</v>
      </c>
      <c r="E21" s="159" t="str">
        <f>IF(AND('Kennzahlenbogen_(KB)'!J66="",$A21&lt;&gt;"I.O."),"-----",IF($A21="I.O.","",'Kennzahlenbogen_(KB)'!J66))</f>
        <v>-----</v>
      </c>
      <c r="F21" s="158" t="str">
        <f>IF($A21="I.O.","",'Kennzahlenbogen_(KB)'!K66)</f>
        <v>≥ 95%</v>
      </c>
      <c r="G21" s="159" t="str">
        <f>IF(AND('Kennzahlenbogen_(KB)'!M66="",$A21&lt;&gt;"I.O."),"-----",IF($A21="I.O.","",'Kennzahlenbogen_(KB)'!M66))</f>
        <v>-----</v>
      </c>
      <c r="H21" s="157" t="str">
        <f>IF($A21="I.O.","",IF('Kennzahlenbogen_(KB)'!O66="","-----",'Kennzahlenbogen_(KB)'!O66))</f>
        <v>-----</v>
      </c>
      <c r="I21" s="157" t="str">
        <f>IF($A21="I.O.","",IF('Kennzahlenbogen_(KB)'!O67="","-----",'Kennzahlenbogen_(KB)'!O67))</f>
        <v>-----</v>
      </c>
      <c r="J21" s="156" t="str">
        <f>IF($A21="I.O.","",IF('Kennzahlenbogen_(KB)'!O68="",0,'Kennzahlenbogen_(KB)'!O68))</f>
        <v>n.d.</v>
      </c>
      <c r="K21" s="242" t="str">
        <f>IF($A21="I.O.","",'Kennzahlenbogen_(KB)'!P66)</f>
        <v>Unvollständig</v>
      </c>
      <c r="L21" s="162" t="str">
        <f>IF(AND('Kennzahlenbogen_(KB)'!Q66="",$A21&lt;&gt;"I.O."),"-----",IF($A21="I.O.","",'Kennzahlenbogen_(KB)'!Q66))</f>
        <v>-----</v>
      </c>
      <c r="M21" s="162" t="str">
        <f>IF(AND('Kennzahlenbogen_(KB)'!R66="",$A21&lt;&gt;"I.O."),"-----",IF($A21="I.O.","",'Kennzahlenbogen_(KB)'!R66))</f>
        <v>-----</v>
      </c>
      <c r="O21" s="242">
        <f t="array" aca="1" ref="O21" ca="1">IF(ROW()-ROW($D$2:$D$26)+1&gt;ROWS($C$2:$C$26)-COUNTBLANK($C$2:$C$26),"",INDIRECT(ADDRESS(SMALL((IF($C$2:$C$26&lt;&gt;"",ROW($C$2:$C$26),ROW()+ROWS($C$2:$C$26))),ROW()-ROW($D$2:$D$26)+1),COLUMN($C$2:$C$26),4)))</f>
        <v>19</v>
      </c>
      <c r="P21" s="162" t="str">
        <f t="array" aca="1" ref="P21" ca="1">IF(ROW()-ROW($E$2:$E$26)+1&gt;ROWS($D$2:$D$26)-COUNTBLANK($D$2:$D$26),"",INDIRECT(ADDRESS(SMALL((IF($D$2:$D$26&gt;"",ROW($D$2:$D$26),ROW()+ROWS($D$2:$D$26))),ROW()-ROW($E$2:$E$26)+1),COLUMN($D$2:$D$26),4)))</f>
        <v>Bestimmung Nodalstatus bei invasivem Mammakarzinom</v>
      </c>
      <c r="Q21" s="159" t="str">
        <f t="array" aca="1" ref="Q21" ca="1">IF(ROW()-ROW($F$2:$F$26)+1&gt;ROWS($E$2:$E$26)-COUNTBLANK($E$2:$E$26),"",INDIRECT(ADDRESS(SMALL((IF($E$2:$E$26&gt;"",ROW($E$2:$E$26),ROW()+ROWS($E$2:$E$26))),ROW()-ROW($F$2:$F$26)+1),COLUMN($E$2:$E$26),4)))</f>
        <v>-----</v>
      </c>
      <c r="R21" s="158" t="str">
        <f t="array" aca="1" ref="R21" ca="1">IF(ROW()-ROW($G$2:$G$26)+1&gt;ROWS($F$2:$F$26)-COUNTBLANK($F$2:$F$26),"",INDIRECT(ADDRESS(SMALL((IF($F$2:$F$26&gt;"",ROW($F$2:$F$26),ROW()+ROWS($F$2:$F$26))),ROW()-ROW($G$2:$G$26)+1),COLUMN($F$2:$F$26),4)))</f>
        <v>≥ 95%</v>
      </c>
      <c r="S21" s="159" t="str">
        <f t="array" aca="1" ref="S21" ca="1">IF(ROW()-ROW($H$2:$H$26)+1&gt;ROWS($G$2:$G$26)-COUNTBLANK($G$2:$G$26),"",INDIRECT(ADDRESS(SMALL((IF($G$2:$G$26&lt;&gt;"",ROW($G$2:$G$26),ROW()+ROWS($G$2:$G$26))),ROW()-ROW($H$2:$H$26)+1),COLUMN($G$2:$G$26),4)))</f>
        <v>-----</v>
      </c>
      <c r="T21" s="157" t="str">
        <f t="array" aca="1" ref="T21" ca="1">IF(ROW()-ROW($I$2:$I$26)+1&gt;ROWS($H$2:$H$26)-COUNTBLANK($H$2:$H$26),"",INDIRECT(ADDRESS(SMALL((IF($H$2:$H$26&lt;&gt;"",ROW($H$2:$H$26),ROW()+ROWS($H$2:$H$26))),ROW()-ROW($I$2:$I$26)+1),COLUMN($H$2:$H$26),4)))</f>
        <v>-----</v>
      </c>
      <c r="U21" s="157" t="str">
        <f t="array" aca="1" ref="U21" ca="1">IF(ROW()-ROW($J$2:$J$26)+1&gt;ROWS($I$2:$I$26)-COUNTBLANK($I$2:$I$26),"",INDIRECT(ADDRESS(SMALL((IF($I$2:$I$26&lt;&gt;"",ROW($I$2:$I$26),ROW()+ROWS($I$2:$I$26))),ROW()-ROW($J$2:$J$26)+1),COLUMN($I$2:$I$26),4)))</f>
        <v>-----</v>
      </c>
      <c r="V21" s="159" t="str">
        <f t="array" aca="1" ref="V21" ca="1">IF(ROW()-ROW($K$2:$K$26)+1&gt;ROWS($J$2:$J$26)-COUNTBLANK($J$2:$J$26),"",INDIRECT(ADDRESS(SMALL((IF($J$2:$J$26&lt;&gt;"",ROW($J$2:$J$26),ROW()+ROWS($J$2:$J$26))),ROW()-ROW($K$2:$K$26)+1),COLUMN($J$2:$J$26),4)))</f>
        <v>n.d.</v>
      </c>
      <c r="W21" s="70" t="str">
        <f t="array" aca="1" ref="W21" ca="1">IF(ROW()-ROW($L$2:$L$26)+1&gt;ROWS($K$2:$K$26)-COUNTBLANK($K$2:$K$26),"",INDIRECT(ADDRESS(SMALL((IF($K$2:$K$26&lt;&gt;"",ROW($K$2:$K$26),ROW()+ROWS($K$2:$K$26))),ROW()-ROW($L$2:$L$26)+1),COLUMN($K$2:$K$26),4)))</f>
        <v>Unvollständig</v>
      </c>
      <c r="X21" s="162" t="str">
        <f t="array" aca="1" ref="X21" ca="1">IF(ROW()-ROW($M$2:$M$26)+1&gt;ROWS($L$2:$L$26)-COUNTBLANK($L$2:$L$26),"",INDIRECT(ADDRESS(SMALL((IF($L$2:$L$26&lt;&gt;"",ROW($L$2:$L$26),ROW()+ROWS($L$2:$L$26))),ROW()-ROW($M$2:$M$26)+1),COLUMN($L$2:$L$26),4)))</f>
        <v>-----</v>
      </c>
      <c r="Y21" s="162" t="str">
        <f t="array" aca="1" ref="Y21" ca="1">IF(ROW()-ROW($N$2:$N$26)+1&gt;ROWS($M$2:$M$26)-COUNTBLANK($M$2:$M$26),"",INDIRECT(ADDRESS(SMALL((IF($M$2:$M$26&lt;&gt;"",ROW($M$2:$M$26),ROW()+ROWS($M$2:$M$26))),ROW()-ROW($N$2:$N$26)+1),COLUMN($M$2:$M$26),4)))</f>
        <v>-----</v>
      </c>
    </row>
    <row r="22" spans="1:25" ht="22.5" customHeight="1" x14ac:dyDescent="0.25">
      <c r="A22" s="242" t="str">
        <f>IF('Kennzahlenbogen_(KB)'!P69=0,"",'Kennzahlenbogen_(KB)'!P69)</f>
        <v>Unvollständig</v>
      </c>
      <c r="C22" s="345" t="str">
        <f>IF($A22="I.O.","",'Kennzahlenbogen_(KB)'!A69)</f>
        <v>20a</v>
      </c>
      <c r="D22" s="390" t="str">
        <f>IF($A22="I.O.","",'Kennzahlenbogen_(KB)'!C69)</f>
        <v>Alleinige Sentinel-Lymphknoten-Entfernung (SNB) bei pN0 (Frauen)</v>
      </c>
      <c r="E22" s="391" t="str">
        <f>IF(AND('Kennzahlenbogen_(KB)'!J69="",$A22&lt;&gt;"I.O."),"-----",IF($A22="I.O.","",'Kennzahlenbogen_(KB)'!J69))</f>
        <v>-----</v>
      </c>
      <c r="F22" s="392" t="str">
        <f>IF($A22="I.O.","",'Kennzahlenbogen_(KB)'!K69)</f>
        <v xml:space="preserve">≥ 80% </v>
      </c>
      <c r="G22" s="391" t="str">
        <f>IF(AND('Kennzahlenbogen_(KB)'!M69="",$A22&lt;&gt;"I.O."),"-----",IF($A22="I.O.","",'Kennzahlenbogen_(KB)'!M69))</f>
        <v>-----</v>
      </c>
      <c r="H22" s="393" t="str">
        <f>IF($A22="I.O.","",IF('Kennzahlenbogen_(KB)'!O69="","-----",'Kennzahlenbogen_(KB)'!O69))</f>
        <v>-----</v>
      </c>
      <c r="I22" s="393" t="str">
        <f>IF($A22="I.O.","",IF('Kennzahlenbogen_(KB)'!O70="","-----",'Kennzahlenbogen_(KB)'!O70))</f>
        <v>-----</v>
      </c>
      <c r="J22" s="394" t="str">
        <f>IF($A22="I.O.","",IF('Kennzahlenbogen_(KB)'!O71="","-----",'Kennzahlenbogen_(KB)'!O71))</f>
        <v>n.d.</v>
      </c>
      <c r="K22" s="345" t="str">
        <f>IF($A22="I.O.","",'Kennzahlenbogen_(KB)'!P69)</f>
        <v>Unvollständig</v>
      </c>
      <c r="L22" s="395" t="str">
        <f>IF(AND('Kennzahlenbogen_(KB)'!Q69="",$A22&lt;&gt;"I.O."),"-----",IF($A22="I.O.","",'Kennzahlenbogen_(KB)'!Q69))</f>
        <v>-----</v>
      </c>
      <c r="M22" s="395" t="str">
        <f>IF(AND('Kennzahlenbogen_(KB)'!R69="",$A22&lt;&gt;"I.O."),"-----",IF($A22="I.O.","",'Kennzahlenbogen_(KB)'!R69))</f>
        <v>-----</v>
      </c>
      <c r="O22" s="242" t="str">
        <f t="array" aca="1" ref="O22" ca="1">IF(ROW()-ROW($D$2:$D$26)+1&gt;ROWS($C$2:$C$26)-COUNTBLANK($C$2:$C$26),"",INDIRECT(ADDRESS(SMALL((IF($C$2:$C$26&lt;&gt;"",ROW($C$2:$C$26),ROW()+ROWS($C$2:$C$26))),ROW()-ROW($D$2:$D$26)+1),COLUMN($C$2:$C$26),4)))</f>
        <v>20a</v>
      </c>
      <c r="P22" s="162" t="str">
        <f t="array" aca="1" ref="P22" ca="1">IF(ROW()-ROW($E$2:$E$26)+1&gt;ROWS($D$2:$D$26)-COUNTBLANK($D$2:$D$26),"",INDIRECT(ADDRESS(SMALL((IF($D$2:$D$26&gt;"",ROW($D$2:$D$26),ROW()+ROWS($D$2:$D$26))),ROW()-ROW($E$2:$E$26)+1),COLUMN($D$2:$D$26),4)))</f>
        <v>Alleinige Sentinel-Lymphknoten-Entfernung (SNB) bei pN0 (Frauen)</v>
      </c>
      <c r="Q22" s="159" t="str">
        <f t="array" aca="1" ref="Q22" ca="1">IF(ROW()-ROW($F$2:$F$26)+1&gt;ROWS($E$2:$E$26)-COUNTBLANK($E$2:$E$26),"",INDIRECT(ADDRESS(SMALL((IF($E$2:$E$26&gt;"",ROW($E$2:$E$26),ROW()+ROWS($E$2:$E$26))),ROW()-ROW($F$2:$F$26)+1),COLUMN($E$2:$E$26),4)))</f>
        <v>-----</v>
      </c>
      <c r="R22" s="158" t="str">
        <f t="array" aca="1" ref="R22" ca="1">IF(ROW()-ROW($G$2:$G$26)+1&gt;ROWS($F$2:$F$26)-COUNTBLANK($F$2:$F$26),"",INDIRECT(ADDRESS(SMALL((IF($F$2:$F$26&gt;"",ROW($F$2:$F$26),ROW()+ROWS($F$2:$F$26))),ROW()-ROW($G$2:$G$26)+1),COLUMN($F$2:$F$26),4)))</f>
        <v xml:space="preserve">≥ 80% </v>
      </c>
      <c r="S22" s="159" t="str">
        <f t="array" aca="1" ref="S22" ca="1">IF(ROW()-ROW($H$2:$H$26)+1&gt;ROWS($G$2:$G$26)-COUNTBLANK($G$2:$G$26),"",INDIRECT(ADDRESS(SMALL((IF($G$2:$G$26&lt;&gt;"",ROW($G$2:$G$26),ROW()+ROWS($G$2:$G$26))),ROW()-ROW($H$2:$H$26)+1),COLUMN($G$2:$G$26),4)))</f>
        <v>-----</v>
      </c>
      <c r="T22" s="157" t="str">
        <f t="array" aca="1" ref="T22" ca="1">IF(ROW()-ROW($I$2:$I$26)+1&gt;ROWS($H$2:$H$26)-COUNTBLANK($H$2:$H$26),"",INDIRECT(ADDRESS(SMALL((IF($H$2:$H$26&lt;&gt;"",ROW($H$2:$H$26),ROW()+ROWS($H$2:$H$26))),ROW()-ROW($I$2:$I$26)+1),COLUMN($H$2:$H$26),4)))</f>
        <v>-----</v>
      </c>
      <c r="U22" s="157" t="str">
        <f t="array" aca="1" ref="U22" ca="1">IF(ROW()-ROW($J$2:$J$26)+1&gt;ROWS($I$2:$I$26)-COUNTBLANK($I$2:$I$26),"",INDIRECT(ADDRESS(SMALL((IF($I$2:$I$26&lt;&gt;"",ROW($I$2:$I$26),ROW()+ROWS($I$2:$I$26))),ROW()-ROW($J$2:$J$26)+1),COLUMN($I$2:$I$26),4)))</f>
        <v>-----</v>
      </c>
      <c r="V22" s="159" t="str">
        <f t="array" aca="1" ref="V22" ca="1">IF(ROW()-ROW($K$2:$K$26)+1&gt;ROWS($J$2:$J$26)-COUNTBLANK($J$2:$J$26),"",INDIRECT(ADDRESS(SMALL((IF($J$2:$J$26&lt;&gt;"",ROW($J$2:$J$26),ROW()+ROWS($J$2:$J$26))),ROW()-ROW($K$2:$K$26)+1),COLUMN($J$2:$J$26),4)))</f>
        <v>n.d.</v>
      </c>
      <c r="W22" s="70" t="str">
        <f t="array" aca="1" ref="W22" ca="1">IF(ROW()-ROW($L$2:$L$26)+1&gt;ROWS($K$2:$K$26)-COUNTBLANK($K$2:$K$26),"",INDIRECT(ADDRESS(SMALL((IF($K$2:$K$26&lt;&gt;"",ROW($K$2:$K$26),ROW()+ROWS($K$2:$K$26))),ROW()-ROW($L$2:$L$26)+1),COLUMN($K$2:$K$26),4)))</f>
        <v>Unvollständig</v>
      </c>
      <c r="X22" s="162" t="str">
        <f t="array" aca="1" ref="X22" ca="1">IF(ROW()-ROW($M$2:$M$26)+1&gt;ROWS($L$2:$L$26)-COUNTBLANK($L$2:$L$26),"",INDIRECT(ADDRESS(SMALL((IF($L$2:$L$26&lt;&gt;"",ROW($L$2:$L$26),ROW()+ROWS($L$2:$L$26))),ROW()-ROW($M$2:$M$26)+1),COLUMN($L$2:$L$26),4)))</f>
        <v>-----</v>
      </c>
      <c r="Y22" s="162" t="str">
        <f t="array" aca="1" ref="Y22" ca="1">IF(ROW()-ROW($N$2:$N$26)+1&gt;ROWS($M$2:$M$26)-COUNTBLANK($M$2:$M$26),"",INDIRECT(ADDRESS(SMALL((IF($M$2:$M$26&lt;&gt;"",ROW($M$2:$M$26),ROW()+ROWS($M$2:$M$26))),ROW()-ROW($N$2:$N$26)+1),COLUMN($M$2:$M$26),4)))</f>
        <v>-----</v>
      </c>
    </row>
    <row r="23" spans="1:25" ht="22.5" customHeight="1" x14ac:dyDescent="0.25">
      <c r="A23" s="242" t="str">
        <f>IF('Kennzahlenbogen_(KB)'!P72=0,"",'Kennzahlenbogen_(KB)'!P72)</f>
        <v>Unvollständig</v>
      </c>
      <c r="C23" s="345" t="str">
        <f>IF($A23="I.O.","",'Kennzahlenbogen_(KB)'!A72)</f>
        <v>20b</v>
      </c>
      <c r="D23" s="390" t="str">
        <f>IF($A23="I.O.","",'Kennzahlenbogen_(KB)'!C72)</f>
        <v>Alleinige Sentinel-Lymphknoten-Entfernung (SNB) bei pN0 (Männer)</v>
      </c>
      <c r="E23" s="391" t="str">
        <f>IF(AND('Kennzahlenbogen_(KB)'!J72="",$A23&lt;&gt;"I.O."),"-----",IF($A23="I.O.","",'Kennzahlenbogen_(KB)'!J72))</f>
        <v>-----</v>
      </c>
      <c r="F23" s="392" t="str">
        <f>IF($A23="I.O.","",'Kennzahlenbogen_(KB)'!K72)</f>
        <v xml:space="preserve">≥ 80% </v>
      </c>
      <c r="G23" s="391" t="str">
        <f>IF(AND('Kennzahlenbogen_(KB)'!M72="",$A23&lt;&gt;"I.O."),"-----",IF($A23="I.O.","",'Kennzahlenbogen_(KB)'!M72))</f>
        <v>-----</v>
      </c>
      <c r="H23" s="393" t="str">
        <f>IF($A23="I.O.","",IF('Kennzahlenbogen_(KB)'!O72="","-----",'Kennzahlenbogen_(KB)'!O72))</f>
        <v>-----</v>
      </c>
      <c r="I23" s="393" t="str">
        <f>IF($A23="I.O.","",IF('Kennzahlenbogen_(KB)'!O73="","-----",'Kennzahlenbogen_(KB)'!O73))</f>
        <v>-----</v>
      </c>
      <c r="J23" s="394" t="str">
        <f>IF($A23="I.O.","",IF('Kennzahlenbogen_(KB)'!O74="","-----",'Kennzahlenbogen_(KB)'!O74))</f>
        <v>n.d.</v>
      </c>
      <c r="K23" s="345" t="str">
        <f>IF($A23="I.O.","",'Kennzahlenbogen_(KB)'!P72)</f>
        <v>Unvollständig</v>
      </c>
      <c r="L23" s="395" t="str">
        <f>IF(AND('Kennzahlenbogen_(KB)'!Q72="",$A23&lt;&gt;"I.O."),"-----",IF($A23="I.O.","",'Kennzahlenbogen_(KB)'!Q72))</f>
        <v>-----</v>
      </c>
      <c r="M23" s="395" t="str">
        <f>IF(AND('Kennzahlenbogen_(KB)'!R72="",$A23&lt;&gt;"I.O."),"-----",IF($A23="I.O.","",'Kennzahlenbogen_(KB)'!R72))</f>
        <v>-----</v>
      </c>
      <c r="O23" s="242" t="str">
        <f t="array" aca="1" ref="O23" ca="1">IF(ROW()-ROW($D$2:$D$26)+1&gt;ROWS($C$2:$C$26)-COUNTBLANK($C$2:$C$26),"",INDIRECT(ADDRESS(SMALL((IF($C$2:$C$26&lt;&gt;"",ROW($C$2:$C$26),ROW()+ROWS($C$2:$C$26))),ROW()-ROW($D$2:$D$26)+1),COLUMN($C$2:$C$26),4)))</f>
        <v>20b</v>
      </c>
      <c r="P23" s="162" t="str">
        <f t="array" aca="1" ref="P23" ca="1">IF(ROW()-ROW($E$2:$E$26)+1&gt;ROWS($D$2:$D$26)-COUNTBLANK($D$2:$D$26),"",INDIRECT(ADDRESS(SMALL((IF($D$2:$D$26&gt;"",ROW($D$2:$D$26),ROW()+ROWS($D$2:$D$26))),ROW()-ROW($E$2:$E$26)+1),COLUMN($D$2:$D$26),4)))</f>
        <v>Alleinige Sentinel-Lymphknoten-Entfernung (SNB) bei pN0 (Männer)</v>
      </c>
      <c r="Q23" s="159" t="str">
        <f t="array" aca="1" ref="Q23" ca="1">IF(ROW()-ROW($F$2:$F$26)+1&gt;ROWS($E$2:$E$26)-COUNTBLANK($E$2:$E$26),"",INDIRECT(ADDRESS(SMALL((IF($E$2:$E$26&gt;"",ROW($E$2:$E$26),ROW()+ROWS($E$2:$E$26))),ROW()-ROW($F$2:$F$26)+1),COLUMN($E$2:$E$26),4)))</f>
        <v>-----</v>
      </c>
      <c r="R23" s="158" t="str">
        <f t="array" aca="1" ref="R23" ca="1">IF(ROW()-ROW($G$2:$G$26)+1&gt;ROWS($F$2:$F$26)-COUNTBLANK($F$2:$F$26),"",INDIRECT(ADDRESS(SMALL((IF($F$2:$F$26&gt;"",ROW($F$2:$F$26),ROW()+ROWS($F$2:$F$26))),ROW()-ROW($G$2:$G$26)+1),COLUMN($F$2:$F$26),4)))</f>
        <v xml:space="preserve">≥ 80% </v>
      </c>
      <c r="S23" s="159" t="str">
        <f t="array" aca="1" ref="S23" ca="1">IF(ROW()-ROW($H$2:$H$26)+1&gt;ROWS($G$2:$G$26)-COUNTBLANK($G$2:$G$26),"",INDIRECT(ADDRESS(SMALL((IF($G$2:$G$26&lt;&gt;"",ROW($G$2:$G$26),ROW()+ROWS($G$2:$G$26))),ROW()-ROW($H$2:$H$26)+1),COLUMN($G$2:$G$26),4)))</f>
        <v>-----</v>
      </c>
      <c r="T23" s="157" t="str">
        <f t="array" aca="1" ref="T23" ca="1">IF(ROW()-ROW($I$2:$I$26)+1&gt;ROWS($H$2:$H$26)-COUNTBLANK($H$2:$H$26),"",INDIRECT(ADDRESS(SMALL((IF($H$2:$H$26&lt;&gt;"",ROW($H$2:$H$26),ROW()+ROWS($H$2:$H$26))),ROW()-ROW($I$2:$I$26)+1),COLUMN($H$2:$H$26),4)))</f>
        <v>-----</v>
      </c>
      <c r="U23" s="157" t="str">
        <f t="array" aca="1" ref="U23" ca="1">IF(ROW()-ROW($J$2:$J$26)+1&gt;ROWS($I$2:$I$26)-COUNTBLANK($I$2:$I$26),"",INDIRECT(ADDRESS(SMALL((IF($I$2:$I$26&lt;&gt;"",ROW($I$2:$I$26),ROW()+ROWS($I$2:$I$26))),ROW()-ROW($J$2:$J$26)+1),COLUMN($I$2:$I$26),4)))</f>
        <v>-----</v>
      </c>
      <c r="V23" s="159" t="str">
        <f t="array" aca="1" ref="V23" ca="1">IF(ROW()-ROW($K$2:$K$26)+1&gt;ROWS($J$2:$J$26)-COUNTBLANK($J$2:$J$26),"",INDIRECT(ADDRESS(SMALL((IF($J$2:$J$26&lt;&gt;"",ROW($J$2:$J$26),ROW()+ROWS($J$2:$J$26))),ROW()-ROW($K$2:$K$26)+1),COLUMN($J$2:$J$26),4)))</f>
        <v>n.d.</v>
      </c>
      <c r="W23" s="70" t="str">
        <f t="array" aca="1" ref="W23" ca="1">IF(ROW()-ROW($L$2:$L$26)+1&gt;ROWS($K$2:$K$26)-COUNTBLANK($K$2:$K$26),"",INDIRECT(ADDRESS(SMALL((IF($K$2:$K$26&lt;&gt;"",ROW($K$2:$K$26),ROW()+ROWS($K$2:$K$26))),ROW()-ROW($L$2:$L$26)+1),COLUMN($K$2:$K$26),4)))</f>
        <v>Unvollständig</v>
      </c>
      <c r="X23" s="162" t="str">
        <f t="array" aca="1" ref="X23" ca="1">IF(ROW()-ROW($M$2:$M$26)+1&gt;ROWS($L$2:$L$26)-COUNTBLANK($L$2:$L$26),"",INDIRECT(ADDRESS(SMALL((IF($L$2:$L$26&lt;&gt;"",ROW($L$2:$L$26),ROW()+ROWS($L$2:$L$26))),ROW()-ROW($M$2:$M$26)+1),COLUMN($L$2:$L$26),4)))</f>
        <v>-----</v>
      </c>
      <c r="Y23" s="162" t="str">
        <f t="array" aca="1" ref="Y23" ca="1">IF(ROW()-ROW($N$2:$N$26)+1&gt;ROWS($M$2:$M$26)-COUNTBLANK($M$2:$M$26),"",INDIRECT(ADDRESS(SMALL((IF($M$2:$M$26&lt;&gt;"",ROW($M$2:$M$26),ROW()+ROWS($M$2:$M$26))),ROW()-ROW($N$2:$N$26)+1),COLUMN($M$2:$M$26),4)))</f>
        <v>-----</v>
      </c>
    </row>
    <row r="24" spans="1:25" ht="22.5" customHeight="1" x14ac:dyDescent="0.25">
      <c r="A24" s="242" t="str">
        <f>IF('Kennzahlenbogen_(KB)'!P75=0,"",'Kennzahlenbogen_(KB)'!P75)</f>
        <v>Unvollständig</v>
      </c>
      <c r="C24" s="242">
        <f>IF($A24="I.O.","",'Kennzahlenbogen_(KB)'!A75)</f>
        <v>21</v>
      </c>
      <c r="D24" s="161" t="str">
        <f>IF($A24="I.O.","",'Kennzahlenbogen_(KB)'!C75)</f>
        <v>Intraoperative Präparateradio-/-sonographie</v>
      </c>
      <c r="E24" s="159" t="str">
        <f>IF(AND('Kennzahlenbogen_(KB)'!J75="",$A24&lt;&gt;"I.O."),"-----",IF($A24="I.O.","",'Kennzahlenbogen_(KB)'!J75))</f>
        <v>-----</v>
      </c>
      <c r="F24" s="158" t="str">
        <f>IF($A24="I.O.","",'Kennzahlenbogen_(KB)'!K75)</f>
        <v>≥ 95%</v>
      </c>
      <c r="G24" s="159" t="str">
        <f>IF(AND('Kennzahlenbogen_(KB)'!M75="",$A24&lt;&gt;"I.O."),"-----",IF($A24="I.O.","",'Kennzahlenbogen_(KB)'!M75))</f>
        <v>-----</v>
      </c>
      <c r="H24" s="157" t="str">
        <f>IF($A24="I.O.","",IF('Kennzahlenbogen_(KB)'!O75="","-----",'Kennzahlenbogen_(KB)'!O75))</f>
        <v>-----</v>
      </c>
      <c r="I24" s="157" t="str">
        <f>IF($A24="I.O.","",IF('Kennzahlenbogen_(KB)'!O76="","-----",'Kennzahlenbogen_(KB)'!O76))</f>
        <v>-----</v>
      </c>
      <c r="J24" s="156" t="str">
        <f>IF($A24="I.O.","",IF('Kennzahlenbogen_(KB)'!O77="",0,'Kennzahlenbogen_(KB)'!O77))</f>
        <v>n.d.</v>
      </c>
      <c r="K24" s="242" t="str">
        <f>IF($A24="I.O.","",'Kennzahlenbogen_(KB)'!P75)</f>
        <v>Unvollständig</v>
      </c>
      <c r="L24" s="162" t="str">
        <f>IF(AND('Kennzahlenbogen_(KB)'!Q75="",$A24&lt;&gt;"I.O."),"-----",IF($A24="I.O.","",'Kennzahlenbogen_(KB)'!Q75))</f>
        <v>-----</v>
      </c>
      <c r="M24" s="162" t="str">
        <f>IF(AND('Kennzahlenbogen_(KB)'!R75="",$A24&lt;&gt;"I.O."),"-----",IF($A24="I.O.","",'Kennzahlenbogen_(KB)'!R75))</f>
        <v>-----</v>
      </c>
      <c r="O24" s="242">
        <f t="array" aca="1" ref="O24" ca="1">IF(ROW()-ROW($D$2:$D$26)+1&gt;ROWS($C$2:$C$26)-COUNTBLANK($C$2:$C$26),"",INDIRECT(ADDRESS(SMALL((IF($C$2:$C$26&lt;&gt;"",ROW($C$2:$C$26),ROW()+ROWS($C$2:$C$26))),ROW()-ROW($D$2:$D$26)+1),COLUMN($C$2:$C$26),4)))</f>
        <v>21</v>
      </c>
      <c r="P24" s="162" t="str">
        <f t="array" aca="1" ref="P24" ca="1">IF(ROW()-ROW($E$2:$E$26)+1&gt;ROWS($D$2:$D$26)-COUNTBLANK($D$2:$D$26),"",INDIRECT(ADDRESS(SMALL((IF($D$2:$D$26&gt;"",ROW($D$2:$D$26),ROW()+ROWS($D$2:$D$26))),ROW()-ROW($E$2:$E$26)+1),COLUMN($D$2:$D$26),4)))</f>
        <v>Intraoperative Präparateradio-/-sonographie</v>
      </c>
      <c r="Q24" s="159" t="str">
        <f t="array" aca="1" ref="Q24" ca="1">IF(ROW()-ROW($F$2:$F$26)+1&gt;ROWS($E$2:$E$26)-COUNTBLANK($E$2:$E$26),"",INDIRECT(ADDRESS(SMALL((IF($E$2:$E$26&gt;"",ROW($E$2:$E$26),ROW()+ROWS($E$2:$E$26))),ROW()-ROW($F$2:$F$26)+1),COLUMN($E$2:$E$26),4)))</f>
        <v>-----</v>
      </c>
      <c r="R24" s="158" t="str">
        <f t="array" aca="1" ref="R24" ca="1">IF(ROW()-ROW($G$2:$G$26)+1&gt;ROWS($F$2:$F$26)-COUNTBLANK($F$2:$F$26),"",INDIRECT(ADDRESS(SMALL((IF($F$2:$F$26&gt;"",ROW($F$2:$F$26),ROW()+ROWS($F$2:$F$26))),ROW()-ROW($G$2:$G$26)+1),COLUMN($F$2:$F$26),4)))</f>
        <v>≥ 95%</v>
      </c>
      <c r="S24" s="159" t="str">
        <f t="array" aca="1" ref="S24" ca="1">IF(ROW()-ROW($H$2:$H$26)+1&gt;ROWS($G$2:$G$26)-COUNTBLANK($G$2:$G$26),"",INDIRECT(ADDRESS(SMALL((IF($G$2:$G$26&lt;&gt;"",ROW($G$2:$G$26),ROW()+ROWS($G$2:$G$26))),ROW()-ROW($H$2:$H$26)+1),COLUMN($G$2:$G$26),4)))</f>
        <v>-----</v>
      </c>
      <c r="T24" s="157" t="str">
        <f t="array" aca="1" ref="T24" ca="1">IF(ROW()-ROW($I$2:$I$26)+1&gt;ROWS($H$2:$H$26)-COUNTBLANK($H$2:$H$26),"",INDIRECT(ADDRESS(SMALL((IF($H$2:$H$26&lt;&gt;"",ROW($H$2:$H$26),ROW()+ROWS($H$2:$H$26))),ROW()-ROW($I$2:$I$26)+1),COLUMN($H$2:$H$26),4)))</f>
        <v>-----</v>
      </c>
      <c r="U24" s="157" t="str">
        <f t="array" aca="1" ref="U24" ca="1">IF(ROW()-ROW($J$2:$J$26)+1&gt;ROWS($I$2:$I$26)-COUNTBLANK($I$2:$I$26),"",INDIRECT(ADDRESS(SMALL((IF($I$2:$I$26&lt;&gt;"",ROW($I$2:$I$26),ROW()+ROWS($I$2:$I$26))),ROW()-ROW($J$2:$J$26)+1),COLUMN($I$2:$I$26),4)))</f>
        <v>-----</v>
      </c>
      <c r="V24" s="159" t="str">
        <f t="array" aca="1" ref="V24" ca="1">IF(ROW()-ROW($K$2:$K$26)+1&gt;ROWS($J$2:$J$26)-COUNTBLANK($J$2:$J$26),"",INDIRECT(ADDRESS(SMALL((IF($J$2:$J$26&lt;&gt;"",ROW($J$2:$J$26),ROW()+ROWS($J$2:$J$26))),ROW()-ROW($K$2:$K$26)+1),COLUMN($J$2:$J$26),4)))</f>
        <v>n.d.</v>
      </c>
      <c r="W24" s="70" t="str">
        <f t="array" aca="1" ref="W24" ca="1">IF(ROW()-ROW($L$2:$L$26)+1&gt;ROWS($K$2:$K$26)-COUNTBLANK($K$2:$K$26),"",INDIRECT(ADDRESS(SMALL((IF($K$2:$K$26&lt;&gt;"",ROW($K$2:$K$26),ROW()+ROWS($K$2:$K$26))),ROW()-ROW($L$2:$L$26)+1),COLUMN($K$2:$K$26),4)))</f>
        <v>Unvollständig</v>
      </c>
      <c r="X24" s="162" t="str">
        <f t="array" aca="1" ref="X24" ca="1">IF(ROW()-ROW($M$2:$M$26)+1&gt;ROWS($L$2:$L$26)-COUNTBLANK($L$2:$L$26),"",INDIRECT(ADDRESS(SMALL((IF($L$2:$L$26&lt;&gt;"",ROW($L$2:$L$26),ROW()+ROWS($L$2:$L$26))),ROW()-ROW($M$2:$M$26)+1),COLUMN($L$2:$L$26),4)))</f>
        <v>-----</v>
      </c>
      <c r="Y24" s="162" t="str">
        <f t="array" aca="1" ref="Y24" ca="1">IF(ROW()-ROW($N$2:$N$26)+1&gt;ROWS($M$2:$M$26)-COUNTBLANK($M$2:$M$26),"",INDIRECT(ADDRESS(SMALL((IF($M$2:$M$26&lt;&gt;"",ROW($M$2:$M$26),ROW()+ROWS($M$2:$M$26))),ROW()-ROW($N$2:$N$26)+1),COLUMN($M$2:$M$26),4)))</f>
        <v>-----</v>
      </c>
    </row>
    <row r="25" spans="1:25" ht="22.5" customHeight="1" x14ac:dyDescent="0.25">
      <c r="A25" s="242" t="str">
        <f>IF('Kennzahlenbogen_(KB)'!P78=0,"",'Kennzahlenbogen_(KB)'!P78)</f>
        <v>Unvollständig</v>
      </c>
      <c r="C25" s="242">
        <f>IF($A25="I.O.","",'Kennzahlenbogen_(KB)'!A78)</f>
        <v>22</v>
      </c>
      <c r="D25" s="161" t="str">
        <f>IF($A25="I.O.","",'Kennzahlenbogen_(KB)'!C78)</f>
        <v>Revisionsoperationen</v>
      </c>
      <c r="E25" s="159" t="str">
        <f>IF(AND('Kennzahlenbogen_(KB)'!J78="",$A25&lt;&gt;"I.O."),"-----",IF($A25="I.O.","",'Kennzahlenbogen_(KB)'!J78))</f>
        <v>&lt; 0,01%</v>
      </c>
      <c r="F25" s="158" t="str">
        <f>IF($A25="I.O.","",'Kennzahlenbogen_(KB)'!K78)</f>
        <v xml:space="preserve">≤ 5% </v>
      </c>
      <c r="G25" s="159" t="str">
        <f>IF(AND('Kennzahlenbogen_(KB)'!M78="",$A25&lt;&gt;"I.O."),"-----",IF($A25="I.O.","",'Kennzahlenbogen_(KB)'!M78))</f>
        <v>-----</v>
      </c>
      <c r="H25" s="157" t="str">
        <f>IF($A25="I.O.","",IF('Kennzahlenbogen_(KB)'!O78="","-----",'Kennzahlenbogen_(KB)'!O78))</f>
        <v>-----</v>
      </c>
      <c r="I25" s="157">
        <f>IF($A25="I.O.","",IF('Kennzahlenbogen_(KB)'!O79="","-----",'Kennzahlenbogen_(KB)'!O79))</f>
        <v>0</v>
      </c>
      <c r="J25" s="156" t="str">
        <f>IF($A25="I.O.","",IF('Kennzahlenbogen_(KB)'!O80="",0,'Kennzahlenbogen_(KB)'!O80))</f>
        <v>n.d.</v>
      </c>
      <c r="K25" s="242" t="str">
        <f>IF($A25="I.O.","",'Kennzahlenbogen_(KB)'!P78)</f>
        <v>Unvollständig</v>
      </c>
      <c r="L25" s="162" t="str">
        <f>IF(AND('Kennzahlenbogen_(KB)'!Q78="",$A25&lt;&gt;"I.O."),"-----",IF($A25="I.O.","",'Kennzahlenbogen_(KB)'!Q78))</f>
        <v>-----</v>
      </c>
      <c r="M25" s="162" t="str">
        <f>IF(AND('Kennzahlenbogen_(KB)'!R78="",$A25&lt;&gt;"I.O."),"-----",IF($A25="I.O.","",'Kennzahlenbogen_(KB)'!R78))</f>
        <v>-----</v>
      </c>
      <c r="O25" s="242">
        <f t="array" aca="1" ref="O25" ca="1">IF(ROW()-ROW($D$2:$D$26)+1&gt;ROWS($C$2:$C$26)-COUNTBLANK($C$2:$C$26),"",INDIRECT(ADDRESS(SMALL((IF($C$2:$C$26&lt;&gt;"",ROW($C$2:$C$26),ROW()+ROWS($C$2:$C$26))),ROW()-ROW($D$2:$D$26)+1),COLUMN($C$2:$C$26),4)))</f>
        <v>22</v>
      </c>
      <c r="P25" s="162" t="str">
        <f t="array" aca="1" ref="P25" ca="1">IF(ROW()-ROW($E$2:$E$26)+1&gt;ROWS($D$2:$D$26)-COUNTBLANK($D$2:$D$26),"",INDIRECT(ADDRESS(SMALL((IF($D$2:$D$26&gt;"",ROW($D$2:$D$26),ROW()+ROWS($D$2:$D$26))),ROW()-ROW($E$2:$E$26)+1),COLUMN($D$2:$D$26),4)))</f>
        <v>Revisionsoperationen</v>
      </c>
      <c r="Q25" s="159" t="str">
        <f t="array" aca="1" ref="Q25" ca="1">IF(ROW()-ROW($F$2:$F$26)+1&gt;ROWS($E$2:$E$26)-COUNTBLANK($E$2:$E$26),"",INDIRECT(ADDRESS(SMALL((IF($E$2:$E$26&gt;"",ROW($E$2:$E$26),ROW()+ROWS($E$2:$E$26))),ROW()-ROW($F$2:$F$26)+1),COLUMN($E$2:$E$26),4)))</f>
        <v>&lt; 0,01%</v>
      </c>
      <c r="R25" s="158" t="str">
        <f t="array" aca="1" ref="R25" ca="1">IF(ROW()-ROW($G$2:$G$26)+1&gt;ROWS($F$2:$F$26)-COUNTBLANK($F$2:$F$26),"",INDIRECT(ADDRESS(SMALL((IF($F$2:$F$26&gt;"",ROW($F$2:$F$26),ROW()+ROWS($F$2:$F$26))),ROW()-ROW($G$2:$G$26)+1),COLUMN($F$2:$F$26),4)))</f>
        <v xml:space="preserve">≤ 5% </v>
      </c>
      <c r="S25" s="159" t="str">
        <f t="array" aca="1" ref="S25" ca="1">IF(ROW()-ROW($H$2:$H$26)+1&gt;ROWS($G$2:$G$26)-COUNTBLANK($G$2:$G$26),"",INDIRECT(ADDRESS(SMALL((IF($G$2:$G$26&lt;&gt;"",ROW($G$2:$G$26),ROW()+ROWS($G$2:$G$26))),ROW()-ROW($H$2:$H$26)+1),COLUMN($G$2:$G$26),4)))</f>
        <v>-----</v>
      </c>
      <c r="T25" s="157" t="str">
        <f t="array" aca="1" ref="T25" ca="1">IF(ROW()-ROW($I$2:$I$26)+1&gt;ROWS($H$2:$H$26)-COUNTBLANK($H$2:$H$26),"",INDIRECT(ADDRESS(SMALL((IF($H$2:$H$26&lt;&gt;"",ROW($H$2:$H$26),ROW()+ROWS($H$2:$H$26))),ROW()-ROW($I$2:$I$26)+1),COLUMN($H$2:$H$26),4)))</f>
        <v>-----</v>
      </c>
      <c r="U25" s="157">
        <f t="array" aca="1" ref="U25" ca="1">IF(ROW()-ROW($J$2:$J$26)+1&gt;ROWS($I$2:$I$26)-COUNTBLANK($I$2:$I$26),"",INDIRECT(ADDRESS(SMALL((IF($I$2:$I$26&lt;&gt;"",ROW($I$2:$I$26),ROW()+ROWS($I$2:$I$26))),ROW()-ROW($J$2:$J$26)+1),COLUMN($I$2:$I$26),4)))</f>
        <v>0</v>
      </c>
      <c r="V25" s="159" t="str">
        <f t="array" aca="1" ref="V25" ca="1">IF(ROW()-ROW($K$2:$K$26)+1&gt;ROWS($J$2:$J$26)-COUNTBLANK($J$2:$J$26),"",INDIRECT(ADDRESS(SMALL((IF($J$2:$J$26&lt;&gt;"",ROW($J$2:$J$26),ROW()+ROWS($J$2:$J$26))),ROW()-ROW($K$2:$K$26)+1),COLUMN($J$2:$J$26),4)))</f>
        <v>n.d.</v>
      </c>
      <c r="W25" s="70" t="str">
        <f t="array" aca="1" ref="W25" ca="1">IF(ROW()-ROW($L$2:$L$26)+1&gt;ROWS($K$2:$K$26)-COUNTBLANK($K$2:$K$26),"",INDIRECT(ADDRESS(SMALL((IF($K$2:$K$26&lt;&gt;"",ROW($K$2:$K$26),ROW()+ROWS($K$2:$K$26))),ROW()-ROW($L$2:$L$26)+1),COLUMN($K$2:$K$26),4)))</f>
        <v>Unvollständig</v>
      </c>
      <c r="X25" s="162" t="str">
        <f t="array" aca="1" ref="X25" ca="1">IF(ROW()-ROW($M$2:$M$26)+1&gt;ROWS($L$2:$L$26)-COUNTBLANK($L$2:$L$26),"",INDIRECT(ADDRESS(SMALL((IF($L$2:$L$26&lt;&gt;"",ROW($L$2:$L$26),ROW()+ROWS($L$2:$L$26))),ROW()-ROW($M$2:$M$26)+1),COLUMN($L$2:$L$26),4)))</f>
        <v>-----</v>
      </c>
      <c r="Y25" s="162" t="str">
        <f t="array" aca="1" ref="Y25" ca="1">IF(ROW()-ROW($N$2:$N$26)+1&gt;ROWS($M$2:$M$26)-COUNTBLANK($M$2:$M$26),"",INDIRECT(ADDRESS(SMALL((IF($M$2:$M$26&lt;&gt;"",ROW($M$2:$M$26),ROW()+ROWS($M$2:$M$26))),ROW()-ROW($N$2:$N$26)+1),COLUMN($M$2:$M$26),4)))</f>
        <v>-----</v>
      </c>
    </row>
    <row r="26" spans="1:25" ht="22.5" customHeight="1" x14ac:dyDescent="0.25">
      <c r="A26" s="242" t="str">
        <f>IF('Kennzahlenbogen_(KB)'!P81=0,"",'Kennzahlenbogen_(KB)'!P81)</f>
        <v>Unvollständig</v>
      </c>
      <c r="C26" s="345">
        <f>IF($A26="I.O.","",'Kennzahlenbogen_(KB)'!A81)</f>
        <v>23</v>
      </c>
      <c r="D26" s="390" t="str">
        <f>IF($A26="I.O.","",'Kennzahlenbogen_(KB)'!C81)</f>
        <v>Therapie der axillären Lymphabflussgebiete bei pN1mi</v>
      </c>
      <c r="E26" s="391" t="str">
        <f>IF(AND('Kennzahlenbogen_(KB)'!J81="",$A26&lt;&gt;"I.O."),"-----",IF($A26="I.O.","",'Kennzahlenbogen_(KB)'!J81))</f>
        <v>-----</v>
      </c>
      <c r="F26" s="392" t="str">
        <f>IF($A26="I.O.","",'Kennzahlenbogen_(KB)'!K81)</f>
        <v xml:space="preserve">≤ 5% </v>
      </c>
      <c r="G26" s="391" t="str">
        <f>IF(AND('Kennzahlenbogen_(KB)'!M81="",$A26&lt;&gt;"I.O."),"-----",IF($A26="I.O.","",'Kennzahlenbogen_(KB)'!M81))</f>
        <v>-----</v>
      </c>
      <c r="H26" s="393" t="str">
        <f>IF($A26="I.O.","",IF('Kennzahlenbogen_(KB)'!O81="","-----",'Kennzahlenbogen_(KB)'!O81))</f>
        <v>-----</v>
      </c>
      <c r="I26" s="393" t="str">
        <f>IF($A26="I.O.","",IF('Kennzahlenbogen_(KB)'!O82="","-----",'Kennzahlenbogen_(KB)'!O82))</f>
        <v>-----</v>
      </c>
      <c r="J26" s="394" t="str">
        <f>IF($A26="I.O.","",IF('Kennzahlenbogen_(KB)'!O83="","-----",'Kennzahlenbogen_(KB)'!O83))</f>
        <v>n.d.</v>
      </c>
      <c r="K26" s="345" t="str">
        <f>IF($A26="I.O.","",'Kennzahlenbogen_(KB)'!P81)</f>
        <v>Unvollständig</v>
      </c>
      <c r="L26" s="395" t="str">
        <f>IF(AND('Kennzahlenbogen_(KB)'!Q81="",$A26&lt;&gt;"I.O."),"-----",IF($A26="I.O.","",'Kennzahlenbogen_(KB)'!Q81))</f>
        <v>-----</v>
      </c>
      <c r="M26" s="395" t="str">
        <f>IF(AND('Kennzahlenbogen_(KB)'!R81="",$A26&lt;&gt;"I.O."),"-----",IF($A26="I.O.","",'Kennzahlenbogen_(KB)'!R81))</f>
        <v>-----</v>
      </c>
      <c r="O26" s="242">
        <f t="array" aca="1" ref="O26" ca="1">IF(ROW()-ROW($D$2:$D$26)+1&gt;ROWS($C$2:$C$26)-COUNTBLANK($C$2:$C$26),"",INDIRECT(ADDRESS(SMALL((IF($C$2:$C$26&lt;&gt;"",ROW($C$2:$C$26),ROW()+ROWS($C$2:$C$26))),ROW()-ROW($D$2:$D$26)+1),COLUMN($C$2:$C$26),4)))</f>
        <v>23</v>
      </c>
      <c r="P26" s="162" t="str">
        <f t="array" aca="1" ref="P26" ca="1">IF(ROW()-ROW($E$2:$E$26)+1&gt;ROWS($D$2:$D$26)-COUNTBLANK($D$2:$D$26),"",INDIRECT(ADDRESS(SMALL((IF($D$2:$D$26&gt;"",ROW($D$2:$D$26),ROW()+ROWS($D$2:$D$26))),ROW()-ROW($E$2:$E$26)+1),COLUMN($D$2:$D$26),4)))</f>
        <v>Therapie der axillären Lymphabflussgebiete bei pN1mi</v>
      </c>
      <c r="Q26" s="159" t="str">
        <f t="array" aca="1" ref="Q26" ca="1">IF(ROW()-ROW($F$2:$F$26)+1&gt;ROWS($E$2:$E$26)-COUNTBLANK($E$2:$E$26),"",INDIRECT(ADDRESS(SMALL((IF($E$2:$E$26&gt;"",ROW($E$2:$E$26),ROW()+ROWS($E$2:$E$26))),ROW()-ROW($F$2:$F$26)+1),COLUMN($E$2:$E$26),4)))</f>
        <v>-----</v>
      </c>
      <c r="R26" s="158" t="str">
        <f t="array" aca="1" ref="R26" ca="1">IF(ROW()-ROW($G$2:$G$26)+1&gt;ROWS($F$2:$F$26)-COUNTBLANK($F$2:$F$26),"",INDIRECT(ADDRESS(SMALL((IF($F$2:$F$26&gt;"",ROW($F$2:$F$26),ROW()+ROWS($F$2:$F$26))),ROW()-ROW($G$2:$G$26)+1),COLUMN($F$2:$F$26),4)))</f>
        <v xml:space="preserve">≤ 5% </v>
      </c>
      <c r="S26" s="159" t="str">
        <f t="array" aca="1" ref="S26" ca="1">IF(ROW()-ROW($H$2:$H$26)+1&gt;ROWS($G$2:$G$26)-COUNTBLANK($G$2:$G$26),"",INDIRECT(ADDRESS(SMALL((IF($G$2:$G$26&lt;&gt;"",ROW($G$2:$G$26),ROW()+ROWS($G$2:$G$26))),ROW()-ROW($H$2:$H$26)+1),COLUMN($G$2:$G$26),4)))</f>
        <v>-----</v>
      </c>
      <c r="T26" s="157" t="str">
        <f t="array" aca="1" ref="T26" ca="1">IF(ROW()-ROW($I$2:$I$26)+1&gt;ROWS($H$2:$H$26)-COUNTBLANK($H$2:$H$26),"",INDIRECT(ADDRESS(SMALL((IF($H$2:$H$26&lt;&gt;"",ROW($H$2:$H$26),ROW()+ROWS($H$2:$H$26))),ROW()-ROW($I$2:$I$26)+1),COLUMN($H$2:$H$26),4)))</f>
        <v>-----</v>
      </c>
      <c r="U26" s="157" t="str">
        <f t="array" aca="1" ref="U26" ca="1">IF(ROW()-ROW($J$2:$J$26)+1&gt;ROWS($I$2:$I$26)-COUNTBLANK($I$2:$I$26),"",INDIRECT(ADDRESS(SMALL((IF($I$2:$I$26&lt;&gt;"",ROW($I$2:$I$26),ROW()+ROWS($I$2:$I$26))),ROW()-ROW($J$2:$J$26)+1),COLUMN($I$2:$I$26),4)))</f>
        <v>-----</v>
      </c>
      <c r="V26" s="159" t="str">
        <f t="array" aca="1" ref="V26" ca="1">IF(ROW()-ROW($K$2:$K$26)+1&gt;ROWS($J$2:$J$26)-COUNTBLANK($J$2:$J$26),"",INDIRECT(ADDRESS(SMALL((IF($J$2:$J$26&lt;&gt;"",ROW($J$2:$J$26),ROW()+ROWS($J$2:$J$26))),ROW()-ROW($K$2:$K$26)+1),COLUMN($J$2:$J$26),4)))</f>
        <v>n.d.</v>
      </c>
      <c r="W26" s="70" t="str">
        <f t="array" aca="1" ref="W26" ca="1">IF(ROW()-ROW($L$2:$L$26)+1&gt;ROWS($K$2:$K$26)-COUNTBLANK($K$2:$K$26),"",INDIRECT(ADDRESS(SMALL((IF($K$2:$K$26&lt;&gt;"",ROW($K$2:$K$26),ROW()+ROWS($K$2:$K$26))),ROW()-ROW($L$2:$L$26)+1),COLUMN($K$2:$K$26),4)))</f>
        <v>Unvollständig</v>
      </c>
      <c r="X26" s="162" t="str">
        <f t="array" aca="1" ref="X26" ca="1">IF(ROW()-ROW($M$2:$M$26)+1&gt;ROWS($L$2:$L$26)-COUNTBLANK($L$2:$L$26),"",INDIRECT(ADDRESS(SMALL((IF($L$2:$L$26&lt;&gt;"",ROW($L$2:$L$26),ROW()+ROWS($L$2:$L$26))),ROW()-ROW($M$2:$M$26)+1),COLUMN($L$2:$L$26),4)))</f>
        <v>-----</v>
      </c>
      <c r="Y26" s="162" t="str">
        <f t="array" aca="1" ref="Y26" ca="1">IF(ROW()-ROW($N$2:$N$26)+1&gt;ROWS($M$2:$M$26)-COUNTBLANK($M$2:$M$26),"",INDIRECT(ADDRESS(SMALL((IF($M$2:$M$26&lt;&gt;"",ROW($M$2:$M$26),ROW()+ROWS($M$2:$M$26))),ROW()-ROW($N$2:$N$26)+1),COLUMN($M$2:$M$26),4)))</f>
        <v>-----</v>
      </c>
    </row>
    <row r="27" spans="1:25" x14ac:dyDescent="0.25">
      <c r="P27" s="166"/>
      <c r="X27" s="166"/>
      <c r="Y27" s="166"/>
    </row>
    <row r="28" spans="1:25" x14ac:dyDescent="0.25">
      <c r="P28" s="166"/>
      <c r="X28" s="166"/>
      <c r="Y28" s="166"/>
    </row>
    <row r="29" spans="1:25" x14ac:dyDescent="0.25">
      <c r="P29" s="166"/>
      <c r="X29" s="166"/>
      <c r="Y29" s="166"/>
    </row>
    <row r="30" spans="1:25" x14ac:dyDescent="0.25">
      <c r="P30" s="166"/>
      <c r="X30" s="166"/>
      <c r="Y30" s="166"/>
    </row>
    <row r="31" spans="1:25" x14ac:dyDescent="0.25">
      <c r="P31" s="166"/>
      <c r="X31" s="166"/>
      <c r="Y31" s="166"/>
    </row>
    <row r="32" spans="1:25" x14ac:dyDescent="0.25">
      <c r="P32" s="166"/>
      <c r="X32" s="166"/>
      <c r="Y32" s="166"/>
    </row>
    <row r="33" spans="16:25" x14ac:dyDescent="0.25">
      <c r="P33" s="166"/>
      <c r="X33" s="166"/>
      <c r="Y33" s="166"/>
    </row>
    <row r="34" spans="16:25" x14ac:dyDescent="0.25">
      <c r="P34" s="166"/>
      <c r="X34" s="166"/>
      <c r="Y34" s="166"/>
    </row>
    <row r="35" spans="16:25" x14ac:dyDescent="0.25">
      <c r="P35" s="166"/>
      <c r="X35" s="166"/>
      <c r="Y35" s="166"/>
    </row>
    <row r="36" spans="16:25" x14ac:dyDescent="0.25">
      <c r="P36" s="166"/>
      <c r="X36" s="166"/>
      <c r="Y36" s="166"/>
    </row>
    <row r="37" spans="16:25" x14ac:dyDescent="0.25">
      <c r="P37" s="166"/>
      <c r="X37" s="166"/>
      <c r="Y37" s="166"/>
    </row>
    <row r="38" spans="16:25" x14ac:dyDescent="0.25">
      <c r="P38" s="166"/>
      <c r="X38" s="166"/>
      <c r="Y38" s="166"/>
    </row>
    <row r="39" spans="16:25" x14ac:dyDescent="0.25">
      <c r="P39" s="166"/>
      <c r="X39" s="166"/>
      <c r="Y39" s="166"/>
    </row>
    <row r="40" spans="16:25" x14ac:dyDescent="0.25">
      <c r="P40" s="166"/>
      <c r="X40" s="166"/>
      <c r="Y40" s="166"/>
    </row>
    <row r="41" spans="16:25" x14ac:dyDescent="0.25">
      <c r="P41" s="166"/>
      <c r="X41" s="166"/>
      <c r="Y41" s="166"/>
    </row>
  </sheetData>
  <phoneticPr fontId="34"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AI100"/>
  <sheetViews>
    <sheetView showGridLines="0" showRuler="0" zoomScaleNormal="100" zoomScaleSheetLayoutView="110" workbookViewId="0">
      <selection activeCell="D18" sqref="D18"/>
    </sheetView>
  </sheetViews>
  <sheetFormatPr baseColWidth="10" defaultColWidth="9" defaultRowHeight="14.25" x14ac:dyDescent="0.2"/>
  <cols>
    <col min="1" max="1" width="8" style="1" customWidth="1"/>
    <col min="2" max="2" width="5.42578125" style="1" customWidth="1"/>
    <col min="3" max="3" width="4.5703125" style="1" customWidth="1"/>
    <col min="4" max="11" width="4.42578125" style="1" customWidth="1"/>
    <col min="12" max="12" width="0.42578125" style="1" customWidth="1"/>
    <col min="13" max="17" width="4.42578125" style="1" customWidth="1"/>
    <col min="18" max="18" width="8.85546875" style="1" customWidth="1"/>
    <col min="19" max="19" width="0.42578125" style="1" customWidth="1"/>
    <col min="20" max="20" width="4.85546875" style="1" customWidth="1"/>
    <col min="21" max="30" width="4.7109375" style="1" customWidth="1"/>
    <col min="31" max="31" width="4.7109375" style="10" customWidth="1"/>
    <col min="32" max="32" width="8" style="1" customWidth="1"/>
    <col min="33" max="35" width="4.5703125" style="1" hidden="1" customWidth="1"/>
    <col min="36" max="223" width="11.42578125" style="1" customWidth="1"/>
    <col min="224" max="16384" width="9" style="1"/>
  </cols>
  <sheetData>
    <row r="1" spans="1:34" ht="6" customHeight="1" x14ac:dyDescent="0.2">
      <c r="C1" s="25"/>
      <c r="N1" s="12"/>
      <c r="O1" s="12"/>
      <c r="P1" s="12"/>
      <c r="Q1" s="12"/>
      <c r="R1" s="12"/>
      <c r="S1" s="12"/>
      <c r="T1" s="12"/>
      <c r="U1" s="12"/>
      <c r="V1" s="12"/>
      <c r="W1" s="12"/>
    </row>
    <row r="2" spans="1:34" ht="12.95" customHeight="1" x14ac:dyDescent="0.2">
      <c r="A2" s="9" t="str">
        <f>Basisdaten!A2</f>
        <v>Anlage EB Version M1.1 (Auditjahr 2025 / Kennzahlenjahr 2024)</v>
      </c>
      <c r="G2" s="35"/>
      <c r="H2" s="35"/>
      <c r="I2" s="35"/>
      <c r="J2" s="35"/>
      <c r="K2" s="35"/>
      <c r="N2" s="12"/>
      <c r="O2" s="12"/>
      <c r="P2" s="12"/>
      <c r="Q2" s="12"/>
      <c r="R2" s="12"/>
      <c r="S2" s="12"/>
      <c r="T2" s="12"/>
      <c r="U2" s="12"/>
      <c r="V2" s="12"/>
      <c r="W2" s="12"/>
    </row>
    <row r="3" spans="1:34" ht="15.75" customHeight="1" x14ac:dyDescent="0.25">
      <c r="A3" s="15" t="s">
        <v>597</v>
      </c>
      <c r="N3" s="12"/>
      <c r="O3" s="12"/>
      <c r="P3" s="12"/>
      <c r="Q3" s="12"/>
      <c r="R3" s="12"/>
      <c r="S3" s="12"/>
      <c r="T3" s="12"/>
      <c r="U3" s="12"/>
      <c r="W3" s="13"/>
      <c r="X3" s="13"/>
      <c r="Y3" s="13"/>
      <c r="Z3" s="13"/>
    </row>
    <row r="4" spans="1:34" ht="9.75" customHeight="1" x14ac:dyDescent="0.25">
      <c r="A4" s="15"/>
      <c r="N4" s="12"/>
      <c r="O4" s="12"/>
      <c r="P4" s="12"/>
      <c r="Q4" s="12"/>
      <c r="R4" s="12"/>
      <c r="S4" s="12"/>
      <c r="T4" s="12"/>
      <c r="U4" s="12"/>
      <c r="W4" s="13"/>
      <c r="X4" s="13"/>
      <c r="Y4" s="13"/>
      <c r="Z4" s="13"/>
    </row>
    <row r="5" spans="1:34" s="19" customFormat="1" ht="15" customHeight="1" x14ac:dyDescent="0.2">
      <c r="A5" s="22" t="s">
        <v>504</v>
      </c>
      <c r="C5" s="870" t="str">
        <f>IF(Basisdaten!C8=0,"",Basisdaten!C8)</f>
        <v/>
      </c>
      <c r="D5" s="871"/>
      <c r="E5" s="871"/>
      <c r="F5" s="871"/>
      <c r="G5" s="871"/>
      <c r="H5" s="871"/>
      <c r="I5" s="871"/>
      <c r="J5" s="871"/>
      <c r="K5" s="871"/>
      <c r="L5" s="871"/>
      <c r="M5" s="871"/>
      <c r="N5" s="871"/>
      <c r="O5" s="871"/>
      <c r="P5" s="871"/>
      <c r="Q5" s="871"/>
      <c r="R5" s="872"/>
      <c r="S5" s="169"/>
      <c r="AE5" s="9"/>
    </row>
    <row r="6" spans="1:34" s="19" customFormat="1" ht="6.95" customHeight="1" x14ac:dyDescent="0.2">
      <c r="A6" s="4"/>
      <c r="C6" s="1"/>
      <c r="D6" s="1"/>
      <c r="E6" s="1"/>
      <c r="G6" s="1"/>
      <c r="J6" s="14"/>
      <c r="K6" s="16"/>
      <c r="L6" s="16"/>
      <c r="M6" s="17"/>
      <c r="N6" s="17"/>
      <c r="O6" s="17"/>
      <c r="AE6" s="9"/>
    </row>
    <row r="7" spans="1:34" s="19" customFormat="1" ht="15" customHeight="1" x14ac:dyDescent="0.25">
      <c r="A7" s="20" t="s">
        <v>442</v>
      </c>
      <c r="C7" s="873" t="str">
        <f>IF(Basisdaten!C6=0,"",Basisdaten!C6)</f>
        <v/>
      </c>
      <c r="D7" s="874"/>
      <c r="E7" s="875"/>
      <c r="G7" s="169"/>
      <c r="H7" s="169"/>
      <c r="I7" s="169"/>
      <c r="J7" s="169"/>
      <c r="K7" s="45" t="s">
        <v>439</v>
      </c>
      <c r="L7" s="23"/>
      <c r="N7" s="17"/>
      <c r="O7" s="876" t="str">
        <f>IF(Basisdaten!K12=0,"",Basisdaten!K12)</f>
        <v/>
      </c>
      <c r="P7" s="876"/>
      <c r="Q7" s="876"/>
      <c r="R7" s="876"/>
      <c r="S7"/>
      <c r="AE7" s="9"/>
    </row>
    <row r="8" spans="1:34" s="19" customFormat="1" ht="4.5" customHeight="1" x14ac:dyDescent="0.2">
      <c r="B8" s="20"/>
      <c r="C8" s="21"/>
      <c r="D8" s="1"/>
      <c r="F8" s="1"/>
      <c r="G8" s="1"/>
      <c r="H8" s="1"/>
      <c r="I8" s="1"/>
      <c r="J8" s="1"/>
      <c r="L8" s="23"/>
      <c r="N8" s="17"/>
      <c r="O8" s="17"/>
      <c r="P8" s="1"/>
      <c r="Q8" s="1"/>
      <c r="R8" s="1"/>
      <c r="AE8" s="9"/>
    </row>
    <row r="9" spans="1:34" ht="16.5" customHeight="1" x14ac:dyDescent="0.2">
      <c r="A9" s="168" t="s">
        <v>472</v>
      </c>
    </row>
    <row r="10" spans="1:34" ht="11.25" customHeight="1" x14ac:dyDescent="0.2">
      <c r="A10" s="877" t="str">
        <f>IF(OR(A11="",A11="Matrix kann eingereicht werden"),"In Ordnung",IF(A11="die inkorrekten und unvollständigen Einträge beheben","Nicht in Ordnung"))</f>
        <v>In Ordnung</v>
      </c>
      <c r="B10" s="878"/>
      <c r="C10" s="878"/>
      <c r="D10" s="878"/>
      <c r="E10" s="878"/>
      <c r="F10" s="879"/>
      <c r="G10" s="843" t="s">
        <v>440</v>
      </c>
      <c r="H10" s="844"/>
      <c r="I10" s="844"/>
      <c r="J10" s="844"/>
      <c r="K10" s="844"/>
      <c r="L10" s="845"/>
      <c r="M10" s="885" t="s">
        <v>277</v>
      </c>
      <c r="N10" s="886"/>
      <c r="O10" s="886"/>
      <c r="P10" s="886"/>
      <c r="Q10" s="886"/>
      <c r="R10" s="887"/>
      <c r="S10" s="846" t="s">
        <v>461</v>
      </c>
      <c r="T10" s="847"/>
      <c r="U10" s="847"/>
      <c r="V10" s="847"/>
      <c r="W10" s="847"/>
      <c r="X10" s="847"/>
      <c r="Y10" s="848"/>
      <c r="Z10" s="846" t="s">
        <v>670</v>
      </c>
      <c r="AA10" s="847"/>
      <c r="AB10" s="847"/>
      <c r="AC10" s="847"/>
      <c r="AD10" s="847"/>
      <c r="AE10" s="848"/>
    </row>
    <row r="11" spans="1:34" ht="22.5" customHeight="1" x14ac:dyDescent="0.2">
      <c r="A11" s="880" t="str">
        <f>Berechnung2!$B$5</f>
        <v/>
      </c>
      <c r="B11" s="881"/>
      <c r="C11" s="881"/>
      <c r="D11" s="881"/>
      <c r="E11" s="881"/>
      <c r="F11" s="882"/>
      <c r="G11" s="888">
        <f>Berechnung2!$C$5</f>
        <v>0</v>
      </c>
      <c r="H11" s="889"/>
      <c r="I11" s="889"/>
      <c r="J11" s="889"/>
      <c r="K11" s="889"/>
      <c r="L11" s="890"/>
      <c r="M11" s="865">
        <f>Berechnung2!$D$5</f>
        <v>0</v>
      </c>
      <c r="N11" s="866"/>
      <c r="O11" s="866"/>
      <c r="P11" s="866"/>
      <c r="Q11" s="866"/>
      <c r="R11" s="867"/>
      <c r="S11" s="840">
        <f>Berechnung2!$E$5</f>
        <v>0</v>
      </c>
      <c r="T11" s="841"/>
      <c r="U11" s="841"/>
      <c r="V11" s="841"/>
      <c r="W11" s="841"/>
      <c r="X11" s="841"/>
      <c r="Y11" s="842"/>
      <c r="Z11" s="840">
        <f>Berechnung2!$F$5</f>
        <v>0</v>
      </c>
      <c r="AA11" s="841"/>
      <c r="AB11" s="841"/>
      <c r="AC11" s="841"/>
      <c r="AD11" s="841"/>
      <c r="AE11" s="842"/>
    </row>
    <row r="12" spans="1:34" s="19" customFormat="1" ht="9.75" customHeight="1" thickBot="1" x14ac:dyDescent="0.25">
      <c r="B12" s="4"/>
      <c r="C12" s="8"/>
      <c r="D12" s="8"/>
      <c r="E12" s="8"/>
      <c r="F12" s="8"/>
      <c r="G12" s="8"/>
      <c r="H12" s="8"/>
      <c r="I12" s="16"/>
      <c r="J12" s="24"/>
      <c r="K12" s="16"/>
      <c r="AE12" s="9"/>
    </row>
    <row r="13" spans="1:34" ht="22.15" customHeight="1" thickBot="1" x14ac:dyDescent="0.25">
      <c r="A13" s="225"/>
      <c r="B13" s="904" t="s">
        <v>668</v>
      </c>
      <c r="C13" s="905"/>
      <c r="D13" s="905"/>
      <c r="E13" s="905"/>
      <c r="F13" s="905"/>
      <c r="G13" s="905"/>
      <c r="H13" s="905"/>
      <c r="I13" s="905"/>
      <c r="J13" s="905"/>
      <c r="K13" s="906"/>
      <c r="L13" s="901"/>
      <c r="M13" s="898" t="s">
        <v>449</v>
      </c>
      <c r="N13" s="899"/>
      <c r="O13" s="899"/>
      <c r="P13" s="899"/>
      <c r="Q13" s="899"/>
      <c r="R13" s="899"/>
      <c r="S13" s="899"/>
      <c r="T13" s="899"/>
      <c r="U13" s="899"/>
      <c r="V13" s="899"/>
      <c r="W13" s="899"/>
      <c r="X13" s="899"/>
      <c r="Y13" s="899"/>
      <c r="Z13" s="899"/>
      <c r="AA13" s="899"/>
      <c r="AB13" s="899"/>
      <c r="AC13" s="899"/>
      <c r="AD13" s="899"/>
      <c r="AE13" s="900"/>
    </row>
    <row r="14" spans="1:34" ht="12" customHeight="1" thickBot="1" x14ac:dyDescent="0.25">
      <c r="A14" s="226" t="s">
        <v>501</v>
      </c>
      <c r="B14" s="227" t="s">
        <v>190</v>
      </c>
      <c r="C14" s="228" t="s">
        <v>278</v>
      </c>
      <c r="D14" s="221" t="s">
        <v>279</v>
      </c>
      <c r="E14" s="221" t="s">
        <v>280</v>
      </c>
      <c r="F14" s="221" t="s">
        <v>281</v>
      </c>
      <c r="G14" s="221" t="s">
        <v>282</v>
      </c>
      <c r="H14" s="221" t="s">
        <v>283</v>
      </c>
      <c r="I14" s="221" t="s">
        <v>284</v>
      </c>
      <c r="J14" s="221" t="s">
        <v>446</v>
      </c>
      <c r="K14" s="244" t="s">
        <v>55</v>
      </c>
      <c r="L14" s="902"/>
      <c r="M14" s="220" t="s">
        <v>59</v>
      </c>
      <c r="N14" s="221" t="s">
        <v>285</v>
      </c>
      <c r="O14" s="221" t="s">
        <v>286</v>
      </c>
      <c r="P14" s="221" t="s">
        <v>287</v>
      </c>
      <c r="Q14" s="221" t="s">
        <v>288</v>
      </c>
      <c r="R14" s="222" t="s">
        <v>384</v>
      </c>
      <c r="S14" s="907"/>
      <c r="T14" s="220" t="s">
        <v>289</v>
      </c>
      <c r="U14" s="221" t="s">
        <v>290</v>
      </c>
      <c r="V14" s="221" t="s">
        <v>291</v>
      </c>
      <c r="W14" s="221" t="s">
        <v>292</v>
      </c>
      <c r="X14" s="221" t="s">
        <v>293</v>
      </c>
      <c r="Y14" s="221" t="s">
        <v>294</v>
      </c>
      <c r="Z14" s="221" t="s">
        <v>295</v>
      </c>
      <c r="AA14" s="221" t="s">
        <v>447</v>
      </c>
      <c r="AB14" s="221" t="s">
        <v>481</v>
      </c>
      <c r="AC14" s="221" t="s">
        <v>61</v>
      </c>
      <c r="AD14" s="221" t="s">
        <v>448</v>
      </c>
      <c r="AE14" s="222" t="s">
        <v>482</v>
      </c>
    </row>
    <row r="15" spans="1:34" ht="23.25" customHeight="1" x14ac:dyDescent="0.2">
      <c r="A15" s="860" t="s">
        <v>371</v>
      </c>
      <c r="B15" s="891" t="s">
        <v>296</v>
      </c>
      <c r="C15" s="883" t="s">
        <v>736</v>
      </c>
      <c r="D15" s="850" t="s">
        <v>1267</v>
      </c>
      <c r="E15" s="850" t="s">
        <v>62</v>
      </c>
      <c r="F15" s="850" t="s">
        <v>63</v>
      </c>
      <c r="G15" s="850" t="s">
        <v>64</v>
      </c>
      <c r="H15" s="850" t="s">
        <v>65</v>
      </c>
      <c r="I15" s="850" t="s">
        <v>56</v>
      </c>
      <c r="J15" s="850" t="s">
        <v>57</v>
      </c>
      <c r="K15" s="895" t="s">
        <v>58</v>
      </c>
      <c r="L15" s="902"/>
      <c r="M15" s="893" t="s">
        <v>66</v>
      </c>
      <c r="N15" s="850" t="s">
        <v>737</v>
      </c>
      <c r="O15" s="850" t="s">
        <v>738</v>
      </c>
      <c r="P15" s="850" t="s">
        <v>739</v>
      </c>
      <c r="Q15" s="850" t="s">
        <v>60</v>
      </c>
      <c r="R15" s="868" t="s">
        <v>2</v>
      </c>
      <c r="S15" s="908"/>
      <c r="T15" s="891" t="s">
        <v>1126</v>
      </c>
      <c r="U15" s="910" t="s">
        <v>665</v>
      </c>
      <c r="V15" s="910"/>
      <c r="W15" s="910"/>
      <c r="X15" s="910"/>
      <c r="Y15" s="910"/>
      <c r="Z15" s="912" t="s">
        <v>659</v>
      </c>
      <c r="AA15" s="912"/>
      <c r="AB15" s="912"/>
      <c r="AC15" s="912"/>
      <c r="AD15" s="912"/>
      <c r="AE15" s="804" t="s">
        <v>662</v>
      </c>
    </row>
    <row r="16" spans="1:34" ht="92.45" customHeight="1" x14ac:dyDescent="0.2">
      <c r="A16" s="861"/>
      <c r="B16" s="892"/>
      <c r="C16" s="884"/>
      <c r="D16" s="851"/>
      <c r="E16" s="851"/>
      <c r="F16" s="851"/>
      <c r="G16" s="851"/>
      <c r="H16" s="851"/>
      <c r="I16" s="897"/>
      <c r="J16" s="851"/>
      <c r="K16" s="896"/>
      <c r="L16" s="902"/>
      <c r="M16" s="894"/>
      <c r="N16" s="851"/>
      <c r="O16" s="851"/>
      <c r="P16" s="851"/>
      <c r="Q16" s="851"/>
      <c r="R16" s="869"/>
      <c r="S16" s="908"/>
      <c r="T16" s="892"/>
      <c r="U16" s="914" t="s">
        <v>666</v>
      </c>
      <c r="V16" s="223" t="s">
        <v>660</v>
      </c>
      <c r="W16" s="223" t="s">
        <v>661</v>
      </c>
      <c r="X16" s="223" t="s">
        <v>998</v>
      </c>
      <c r="Y16" s="223" t="s">
        <v>999</v>
      </c>
      <c r="Z16" s="915" t="s">
        <v>667</v>
      </c>
      <c r="AA16" s="224" t="s">
        <v>660</v>
      </c>
      <c r="AB16" s="224" t="s">
        <v>661</v>
      </c>
      <c r="AC16" s="224" t="s">
        <v>998</v>
      </c>
      <c r="AD16" s="224" t="s">
        <v>1000</v>
      </c>
      <c r="AE16" s="805"/>
      <c r="AH16" s="174"/>
    </row>
    <row r="17" spans="1:35" ht="21.6" customHeight="1" x14ac:dyDescent="0.2">
      <c r="A17" s="861"/>
      <c r="B17" s="892"/>
      <c r="C17" s="850"/>
      <c r="D17" s="851"/>
      <c r="E17" s="851"/>
      <c r="F17" s="851"/>
      <c r="G17" s="851"/>
      <c r="H17" s="851"/>
      <c r="I17" s="897"/>
      <c r="J17" s="851"/>
      <c r="K17" s="896"/>
      <c r="L17" s="902"/>
      <c r="M17" s="894"/>
      <c r="N17" s="851"/>
      <c r="O17" s="851"/>
      <c r="P17" s="851"/>
      <c r="Q17" s="851"/>
      <c r="R17" s="869"/>
      <c r="S17" s="908"/>
      <c r="T17" s="892"/>
      <c r="U17" s="914"/>
      <c r="V17" s="911" t="s">
        <v>67</v>
      </c>
      <c r="W17" s="911"/>
      <c r="X17" s="911"/>
      <c r="Y17" s="911"/>
      <c r="Z17" s="915"/>
      <c r="AA17" s="913" t="s">
        <v>67</v>
      </c>
      <c r="AB17" s="913"/>
      <c r="AC17" s="913"/>
      <c r="AD17" s="913"/>
      <c r="AE17" s="805"/>
      <c r="AG17" s="202" t="s">
        <v>290</v>
      </c>
      <c r="AH17" s="202" t="s">
        <v>295</v>
      </c>
      <c r="AI17" s="202" t="s">
        <v>482</v>
      </c>
    </row>
    <row r="18" spans="1:35" ht="15.95" customHeight="1" x14ac:dyDescent="0.2">
      <c r="A18" s="207" t="str">
        <f>IF(Datenquelle!$F$3&gt;11,IF(Datenquelle!$F$3=12,"EZ",IF(Datenquelle!$F$3&gt;12,"relevant","?")),"nicht relevant")</f>
        <v>nicht relevant</v>
      </c>
      <c r="B18" s="209">
        <v>2013</v>
      </c>
      <c r="C18" s="229">
        <f>SUM(D18:K18)</f>
        <v>0</v>
      </c>
      <c r="D18" s="171"/>
      <c r="E18" s="171"/>
      <c r="F18" s="171"/>
      <c r="G18" s="171"/>
      <c r="H18" s="171"/>
      <c r="I18" s="171"/>
      <c r="J18" s="171"/>
      <c r="K18" s="245"/>
      <c r="L18" s="902"/>
      <c r="M18" s="211"/>
      <c r="N18" s="170">
        <f t="shared" ref="N18" si="0">C18-M18</f>
        <v>0</v>
      </c>
      <c r="O18" s="171"/>
      <c r="P18" s="171"/>
      <c r="Q18" s="170">
        <f t="shared" ref="Q18" si="1">IF(N18="","",IF(OR(O18="",P18=""),0,N18-O18-P18))</f>
        <v>0</v>
      </c>
      <c r="R18" s="212" t="str">
        <f t="shared" ref="R18" si="2">IF(OR(N18=0,N18=""),"",IF(AND(N18&gt;0,Q18&gt;=0,O18&lt;&gt;"",P18&lt;&gt;""),SUM(O18:P18) /N18,""))</f>
        <v/>
      </c>
      <c r="S18" s="908"/>
      <c r="T18" s="216">
        <f t="shared" ref="T18" si="3">IF(COUNTA(U18:AE18)&lt;11,0,(SUM(O18+P18-U18-Z18-AE18)))</f>
        <v>0</v>
      </c>
      <c r="U18" s="175"/>
      <c r="V18" s="171"/>
      <c r="W18" s="171"/>
      <c r="X18" s="171"/>
      <c r="Y18" s="171"/>
      <c r="Z18" s="171"/>
      <c r="AA18" s="171"/>
      <c r="AB18" s="171"/>
      <c r="AC18" s="171"/>
      <c r="AD18" s="171"/>
      <c r="AE18" s="205"/>
      <c r="AG18" s="203">
        <f>IF(OR(O18="",P18=""),0,O18+P18-T18-Z18-AE18)</f>
        <v>0</v>
      </c>
      <c r="AH18" s="203">
        <f>IF(OR(O18="",P18=""),0,O18+P18-T18-U18-AE18)</f>
        <v>0</v>
      </c>
      <c r="AI18" s="203">
        <f>IF(OR(O18="",P18=""),0,O18+P18-T18-Z18-U18)</f>
        <v>0</v>
      </c>
    </row>
    <row r="19" spans="1:35" ht="15.95" customHeight="1" x14ac:dyDescent="0.2">
      <c r="A19" s="207" t="str">
        <f>IF(Datenquelle!$F$3&gt;10,IF(Datenquelle!$F$3=11,"EZ",IF(Datenquelle!$F$3&gt;11,"relevant","?")),"nicht relevant")</f>
        <v>nicht relevant</v>
      </c>
      <c r="B19" s="209">
        <v>2014</v>
      </c>
      <c r="C19" s="229">
        <f>SUM(D19:K19)</f>
        <v>0</v>
      </c>
      <c r="D19" s="171"/>
      <c r="E19" s="171"/>
      <c r="F19" s="171"/>
      <c r="G19" s="171"/>
      <c r="H19" s="171"/>
      <c r="I19" s="171"/>
      <c r="J19" s="171"/>
      <c r="K19" s="245"/>
      <c r="L19" s="902"/>
      <c r="M19" s="211"/>
      <c r="N19" s="170">
        <f t="shared" ref="N19:N27" si="4">C19-M19</f>
        <v>0</v>
      </c>
      <c r="O19" s="171"/>
      <c r="P19" s="171"/>
      <c r="Q19" s="170">
        <f t="shared" ref="Q19:Q27" si="5">IF(N19="","",IF(OR(O19="",P19=""),0,N19-O19-P19))</f>
        <v>0</v>
      </c>
      <c r="R19" s="212" t="str">
        <f t="shared" ref="R19:R27" si="6">IF(OR(N19=0,N19=""),"",IF(AND(N19&gt;0,Q19&gt;=0,O19&lt;&gt;"",P19&lt;&gt;""),SUM(O19:P19) /N19,""))</f>
        <v/>
      </c>
      <c r="S19" s="908"/>
      <c r="T19" s="216">
        <f t="shared" ref="T19:T27" si="7">IF(COUNTA(U19:AE19)&lt;11,0,(SUM(O19+P19-U19-Z19-AE19)))</f>
        <v>0</v>
      </c>
      <c r="U19" s="175"/>
      <c r="V19" s="171"/>
      <c r="W19" s="171"/>
      <c r="X19" s="171"/>
      <c r="Y19" s="171"/>
      <c r="Z19" s="171"/>
      <c r="AA19" s="171"/>
      <c r="AB19" s="171"/>
      <c r="AC19" s="171"/>
      <c r="AD19" s="171"/>
      <c r="AE19" s="205"/>
      <c r="AG19" s="203">
        <f>IF(OR(O19="",P19=""),0,O19+P19-T19-Z19-AE19)</f>
        <v>0</v>
      </c>
      <c r="AH19" s="203">
        <f>IF(OR(O19="",P19=""),0,O19+P19-T19-U19-AE19)</f>
        <v>0</v>
      </c>
      <c r="AI19" s="203">
        <f>IF(OR(O19="",P19=""),0,O19+P19-T19-Z19-U19)</f>
        <v>0</v>
      </c>
    </row>
    <row r="20" spans="1:35" ht="15.95" customHeight="1" x14ac:dyDescent="0.2">
      <c r="A20" s="207" t="str">
        <f>IF(Datenquelle!$F$3&gt;9,IF(Datenquelle!$F$3=10,"EZ",IF(Datenquelle!$F$3&gt;10,"relevant","?")),"nicht relevant")</f>
        <v>nicht relevant</v>
      </c>
      <c r="B20" s="209">
        <v>2015</v>
      </c>
      <c r="C20" s="229">
        <f t="shared" ref="C20:C29" si="8">SUM(D20:K20)</f>
        <v>0</v>
      </c>
      <c r="D20" s="171"/>
      <c r="E20" s="171"/>
      <c r="F20" s="171"/>
      <c r="G20" s="171"/>
      <c r="H20" s="171"/>
      <c r="I20" s="171"/>
      <c r="J20" s="171"/>
      <c r="K20" s="245"/>
      <c r="L20" s="902"/>
      <c r="M20" s="211"/>
      <c r="N20" s="170">
        <f t="shared" si="4"/>
        <v>0</v>
      </c>
      <c r="O20" s="171"/>
      <c r="P20" s="171"/>
      <c r="Q20" s="170">
        <f t="shared" si="5"/>
        <v>0</v>
      </c>
      <c r="R20" s="212" t="str">
        <f t="shared" si="6"/>
        <v/>
      </c>
      <c r="S20" s="908"/>
      <c r="T20" s="216">
        <f t="shared" si="7"/>
        <v>0</v>
      </c>
      <c r="U20" s="175"/>
      <c r="V20" s="171"/>
      <c r="W20" s="171"/>
      <c r="X20" s="171"/>
      <c r="Y20" s="171"/>
      <c r="Z20" s="171"/>
      <c r="AA20" s="171"/>
      <c r="AB20" s="171"/>
      <c r="AC20" s="171"/>
      <c r="AD20" s="171"/>
      <c r="AE20" s="205"/>
      <c r="AG20" s="203">
        <f t="shared" ref="AG20:AG28" si="9">IF(OR(O20="",P20=""),0,O20+P20-T20-Z20-AE20)</f>
        <v>0</v>
      </c>
      <c r="AH20" s="203">
        <f t="shared" ref="AH20:AH28" si="10">IF(OR(O20="",P20=""),0,O20+P20-T20-U20-AE20)</f>
        <v>0</v>
      </c>
      <c r="AI20" s="203">
        <f t="shared" ref="AI20:AI28" si="11">IF(OR(O20="",P20=""),0,O20+P20-T20-Z20-U20)</f>
        <v>0</v>
      </c>
    </row>
    <row r="21" spans="1:35" ht="15.95" customHeight="1" x14ac:dyDescent="0.2">
      <c r="A21" s="207" t="str">
        <f>IF(Datenquelle!$F$3&gt;8,IF(Datenquelle!$F$3=9,"EZ",IF(Datenquelle!$F$3&gt;9,"relevant","?")),"nicht relevant")</f>
        <v>nicht relevant</v>
      </c>
      <c r="B21" s="209">
        <v>2016</v>
      </c>
      <c r="C21" s="229">
        <f t="shared" si="8"/>
        <v>0</v>
      </c>
      <c r="D21" s="171"/>
      <c r="E21" s="171"/>
      <c r="F21" s="171"/>
      <c r="G21" s="171"/>
      <c r="H21" s="171"/>
      <c r="I21" s="171"/>
      <c r="J21" s="171"/>
      <c r="K21" s="245"/>
      <c r="L21" s="902"/>
      <c r="M21" s="211"/>
      <c r="N21" s="170">
        <f t="shared" si="4"/>
        <v>0</v>
      </c>
      <c r="O21" s="171"/>
      <c r="P21" s="171"/>
      <c r="Q21" s="170">
        <f t="shared" si="5"/>
        <v>0</v>
      </c>
      <c r="R21" s="212" t="str">
        <f t="shared" si="6"/>
        <v/>
      </c>
      <c r="S21" s="908"/>
      <c r="T21" s="216">
        <f t="shared" si="7"/>
        <v>0</v>
      </c>
      <c r="U21" s="175"/>
      <c r="V21" s="171"/>
      <c r="W21" s="171"/>
      <c r="X21" s="171"/>
      <c r="Y21" s="171"/>
      <c r="Z21" s="171"/>
      <c r="AA21" s="171"/>
      <c r="AB21" s="171"/>
      <c r="AC21" s="171"/>
      <c r="AD21" s="171"/>
      <c r="AE21" s="205"/>
      <c r="AG21" s="203">
        <f t="shared" si="9"/>
        <v>0</v>
      </c>
      <c r="AH21" s="203">
        <f t="shared" si="10"/>
        <v>0</v>
      </c>
      <c r="AI21" s="203">
        <f t="shared" si="11"/>
        <v>0</v>
      </c>
    </row>
    <row r="22" spans="1:35" ht="15.95" customHeight="1" x14ac:dyDescent="0.2">
      <c r="A22" s="207" t="str">
        <f>IF(Datenquelle!$F$3&gt;7,IF(Datenquelle!$F$3=8,"EZ",IF(Datenquelle!$F$3&gt;8,"relevant","?")),"nicht relevant")</f>
        <v>nicht relevant</v>
      </c>
      <c r="B22" s="209">
        <v>2017</v>
      </c>
      <c r="C22" s="229">
        <f t="shared" si="8"/>
        <v>0</v>
      </c>
      <c r="D22" s="171"/>
      <c r="E22" s="171"/>
      <c r="F22" s="171"/>
      <c r="G22" s="171"/>
      <c r="H22" s="171"/>
      <c r="I22" s="171"/>
      <c r="J22" s="171"/>
      <c r="K22" s="245"/>
      <c r="L22" s="902"/>
      <c r="M22" s="211"/>
      <c r="N22" s="170">
        <f t="shared" si="4"/>
        <v>0</v>
      </c>
      <c r="O22" s="171"/>
      <c r="P22" s="171"/>
      <c r="Q22" s="170">
        <f t="shared" si="5"/>
        <v>0</v>
      </c>
      <c r="R22" s="212" t="str">
        <f t="shared" si="6"/>
        <v/>
      </c>
      <c r="S22" s="908"/>
      <c r="T22" s="216">
        <f t="shared" si="7"/>
        <v>0</v>
      </c>
      <c r="U22" s="175"/>
      <c r="V22" s="171"/>
      <c r="W22" s="171"/>
      <c r="X22" s="171"/>
      <c r="Y22" s="171"/>
      <c r="Z22" s="171"/>
      <c r="AA22" s="171"/>
      <c r="AB22" s="171"/>
      <c r="AC22" s="171"/>
      <c r="AD22" s="171"/>
      <c r="AE22" s="205"/>
      <c r="AG22" s="203">
        <f t="shared" si="9"/>
        <v>0</v>
      </c>
      <c r="AH22" s="203">
        <f t="shared" si="10"/>
        <v>0</v>
      </c>
      <c r="AI22" s="203">
        <f t="shared" si="11"/>
        <v>0</v>
      </c>
    </row>
    <row r="23" spans="1:35" ht="15.95" customHeight="1" x14ac:dyDescent="0.2">
      <c r="A23" s="207" t="str">
        <f>IF(Datenquelle!$F$3&gt;6,IF(Datenquelle!$F$3=7,"EZ",IF(Datenquelle!$F$3&gt;7,"relevant","?")),"nicht relevant")</f>
        <v>nicht relevant</v>
      </c>
      <c r="B23" s="209">
        <v>2018</v>
      </c>
      <c r="C23" s="229">
        <f t="shared" si="8"/>
        <v>0</v>
      </c>
      <c r="D23" s="171"/>
      <c r="E23" s="171"/>
      <c r="F23" s="171"/>
      <c r="G23" s="171"/>
      <c r="H23" s="171"/>
      <c r="I23" s="171"/>
      <c r="J23" s="171"/>
      <c r="K23" s="245"/>
      <c r="L23" s="902"/>
      <c r="M23" s="211"/>
      <c r="N23" s="170">
        <f t="shared" si="4"/>
        <v>0</v>
      </c>
      <c r="O23" s="171"/>
      <c r="P23" s="171"/>
      <c r="Q23" s="170">
        <f t="shared" si="5"/>
        <v>0</v>
      </c>
      <c r="R23" s="212" t="str">
        <f t="shared" si="6"/>
        <v/>
      </c>
      <c r="S23" s="908"/>
      <c r="T23" s="216">
        <f t="shared" si="7"/>
        <v>0</v>
      </c>
      <c r="U23" s="175"/>
      <c r="V23" s="171"/>
      <c r="W23" s="171"/>
      <c r="X23" s="171"/>
      <c r="Y23" s="171"/>
      <c r="Z23" s="171"/>
      <c r="AA23" s="171"/>
      <c r="AB23" s="171"/>
      <c r="AC23" s="171"/>
      <c r="AD23" s="171"/>
      <c r="AE23" s="205"/>
      <c r="AG23" s="203">
        <f t="shared" si="9"/>
        <v>0</v>
      </c>
      <c r="AH23" s="203">
        <f t="shared" si="10"/>
        <v>0</v>
      </c>
      <c r="AI23" s="203">
        <f t="shared" si="11"/>
        <v>0</v>
      </c>
    </row>
    <row r="24" spans="1:35" ht="15.95" customHeight="1" x14ac:dyDescent="0.2">
      <c r="A24" s="207" t="str">
        <f>IF(Datenquelle!$F$3&gt;5,IF(Datenquelle!$F$3=6,"EZ",IF(Datenquelle!$F$3&gt;6,"relevant","?")),"nicht relevant")</f>
        <v>nicht relevant</v>
      </c>
      <c r="B24" s="209">
        <v>2019</v>
      </c>
      <c r="C24" s="229">
        <f t="shared" si="8"/>
        <v>0</v>
      </c>
      <c r="D24" s="171"/>
      <c r="E24" s="171"/>
      <c r="F24" s="171"/>
      <c r="G24" s="171"/>
      <c r="H24" s="171"/>
      <c r="I24" s="171"/>
      <c r="J24" s="171"/>
      <c r="K24" s="245"/>
      <c r="L24" s="902"/>
      <c r="M24" s="211"/>
      <c r="N24" s="170">
        <f t="shared" si="4"/>
        <v>0</v>
      </c>
      <c r="O24" s="171"/>
      <c r="P24" s="171"/>
      <c r="Q24" s="170">
        <f t="shared" si="5"/>
        <v>0</v>
      </c>
      <c r="R24" s="212" t="str">
        <f t="shared" si="6"/>
        <v/>
      </c>
      <c r="S24" s="908"/>
      <c r="T24" s="216">
        <f t="shared" si="7"/>
        <v>0</v>
      </c>
      <c r="U24" s="175"/>
      <c r="V24" s="171"/>
      <c r="W24" s="171"/>
      <c r="X24" s="171"/>
      <c r="Y24" s="171"/>
      <c r="Z24" s="171"/>
      <c r="AA24" s="171"/>
      <c r="AB24" s="171"/>
      <c r="AC24" s="171"/>
      <c r="AD24" s="171"/>
      <c r="AE24" s="205"/>
      <c r="AG24" s="203">
        <f t="shared" si="9"/>
        <v>0</v>
      </c>
      <c r="AH24" s="203">
        <f t="shared" si="10"/>
        <v>0</v>
      </c>
      <c r="AI24" s="203">
        <f t="shared" si="11"/>
        <v>0</v>
      </c>
    </row>
    <row r="25" spans="1:35" s="8" customFormat="1" ht="15.95" customHeight="1" x14ac:dyDescent="0.25">
      <c r="A25" s="207" t="str">
        <f>IF(Datenquelle!$F$3&gt;4,IF(Datenquelle!$F$3=5,"EZ",IF(Datenquelle!$F$3&gt;5,"relevant","?")),"nicht relevant")</f>
        <v>nicht relevant</v>
      </c>
      <c r="B25" s="209">
        <v>2020</v>
      </c>
      <c r="C25" s="229">
        <f t="shared" si="8"/>
        <v>0</v>
      </c>
      <c r="D25" s="171"/>
      <c r="E25" s="171"/>
      <c r="F25" s="171"/>
      <c r="G25" s="171"/>
      <c r="H25" s="171"/>
      <c r="I25" s="171"/>
      <c r="J25" s="171"/>
      <c r="K25" s="245"/>
      <c r="L25" s="902"/>
      <c r="M25" s="211"/>
      <c r="N25" s="170">
        <f t="shared" si="4"/>
        <v>0</v>
      </c>
      <c r="O25" s="171"/>
      <c r="P25" s="171"/>
      <c r="Q25" s="170">
        <f t="shared" si="5"/>
        <v>0</v>
      </c>
      <c r="R25" s="212" t="str">
        <f t="shared" si="6"/>
        <v/>
      </c>
      <c r="S25" s="908"/>
      <c r="T25" s="216">
        <f t="shared" si="7"/>
        <v>0</v>
      </c>
      <c r="U25" s="175"/>
      <c r="V25" s="171"/>
      <c r="W25" s="171"/>
      <c r="X25" s="171"/>
      <c r="Y25" s="171"/>
      <c r="Z25" s="171"/>
      <c r="AA25" s="171"/>
      <c r="AB25" s="171"/>
      <c r="AC25" s="171"/>
      <c r="AD25" s="171"/>
      <c r="AE25" s="205"/>
      <c r="AG25" s="203">
        <f t="shared" si="9"/>
        <v>0</v>
      </c>
      <c r="AH25" s="203">
        <f t="shared" si="10"/>
        <v>0</v>
      </c>
      <c r="AI25" s="203">
        <f t="shared" si="11"/>
        <v>0</v>
      </c>
    </row>
    <row r="26" spans="1:35" s="8" customFormat="1" ht="15.95" customHeight="1" x14ac:dyDescent="0.25">
      <c r="A26" s="207" t="str">
        <f>IF(Datenquelle!$F$3&gt;3,IF(Datenquelle!$F$3=4,"EZ",IF(Datenquelle!$F$3&gt;4,"relevant","?")),"nicht relevant")</f>
        <v>nicht relevant</v>
      </c>
      <c r="B26" s="209">
        <v>2021</v>
      </c>
      <c r="C26" s="229">
        <f t="shared" si="8"/>
        <v>0</v>
      </c>
      <c r="D26" s="171"/>
      <c r="E26" s="171"/>
      <c r="F26" s="171"/>
      <c r="G26" s="171"/>
      <c r="H26" s="171"/>
      <c r="I26" s="171"/>
      <c r="J26" s="171"/>
      <c r="K26" s="245"/>
      <c r="L26" s="902"/>
      <c r="M26" s="211"/>
      <c r="N26" s="170">
        <f t="shared" si="4"/>
        <v>0</v>
      </c>
      <c r="O26" s="171"/>
      <c r="P26" s="171"/>
      <c r="Q26" s="170">
        <f t="shared" si="5"/>
        <v>0</v>
      </c>
      <c r="R26" s="212" t="str">
        <f t="shared" si="6"/>
        <v/>
      </c>
      <c r="S26" s="908"/>
      <c r="T26" s="216">
        <f t="shared" si="7"/>
        <v>0</v>
      </c>
      <c r="U26" s="175"/>
      <c r="V26" s="171"/>
      <c r="W26" s="171"/>
      <c r="X26" s="171"/>
      <c r="Y26" s="171"/>
      <c r="Z26" s="171"/>
      <c r="AA26" s="171"/>
      <c r="AB26" s="171"/>
      <c r="AC26" s="171"/>
      <c r="AD26" s="171"/>
      <c r="AE26" s="205"/>
      <c r="AG26" s="203">
        <f t="shared" si="9"/>
        <v>0</v>
      </c>
      <c r="AH26" s="203">
        <f t="shared" si="10"/>
        <v>0</v>
      </c>
      <c r="AI26" s="203">
        <f t="shared" si="11"/>
        <v>0</v>
      </c>
    </row>
    <row r="27" spans="1:35" s="8" customFormat="1" ht="15.95" customHeight="1" thickBot="1" x14ac:dyDescent="0.3">
      <c r="A27" s="207" t="str">
        <f>IF(Datenquelle!$F$3&gt;2,IF(Datenquelle!$F$3=3,"EZ",IF(Datenquelle!$F$3&gt;3,"relevant","?")),"nicht relevant")</f>
        <v>nicht relevant</v>
      </c>
      <c r="B27" s="209">
        <v>2022</v>
      </c>
      <c r="C27" s="229">
        <f t="shared" si="8"/>
        <v>0</v>
      </c>
      <c r="D27" s="171"/>
      <c r="E27" s="171"/>
      <c r="F27" s="171"/>
      <c r="G27" s="171"/>
      <c r="H27" s="171"/>
      <c r="I27" s="171"/>
      <c r="J27" s="171"/>
      <c r="K27" s="245"/>
      <c r="L27" s="902"/>
      <c r="M27" s="213"/>
      <c r="N27" s="206">
        <f t="shared" si="4"/>
        <v>0</v>
      </c>
      <c r="O27" s="214"/>
      <c r="P27" s="214"/>
      <c r="Q27" s="206">
        <f t="shared" si="5"/>
        <v>0</v>
      </c>
      <c r="R27" s="215" t="str">
        <f t="shared" si="6"/>
        <v/>
      </c>
      <c r="S27" s="908"/>
      <c r="T27" s="217">
        <f t="shared" si="7"/>
        <v>0</v>
      </c>
      <c r="U27" s="218"/>
      <c r="V27" s="214"/>
      <c r="W27" s="214"/>
      <c r="X27" s="214"/>
      <c r="Y27" s="214"/>
      <c r="Z27" s="214"/>
      <c r="AA27" s="214"/>
      <c r="AB27" s="214"/>
      <c r="AC27" s="214"/>
      <c r="AD27" s="214"/>
      <c r="AE27" s="219"/>
      <c r="AG27" s="203">
        <f t="shared" si="9"/>
        <v>0</v>
      </c>
      <c r="AH27" s="203">
        <f t="shared" si="10"/>
        <v>0</v>
      </c>
      <c r="AI27" s="203">
        <f t="shared" si="11"/>
        <v>0</v>
      </c>
    </row>
    <row r="28" spans="1:35" s="8" customFormat="1" ht="15.95" customHeight="1" thickBot="1" x14ac:dyDescent="0.3">
      <c r="A28" s="207" t="str">
        <f>IF(Datenquelle!$F$3&gt;1,IF(Datenquelle!$F$3=2,"EZ",IF(Datenquelle!$F$3&gt;2,"relevant","?")),"nicht relevant")</f>
        <v>nicht relevant</v>
      </c>
      <c r="B28" s="209" t="s">
        <v>1144</v>
      </c>
      <c r="C28" s="229">
        <f t="shared" si="8"/>
        <v>0</v>
      </c>
      <c r="D28" s="171"/>
      <c r="E28" s="171"/>
      <c r="F28" s="171"/>
      <c r="G28" s="171"/>
      <c r="H28" s="171"/>
      <c r="I28" s="171"/>
      <c r="J28" s="171"/>
      <c r="K28" s="245"/>
      <c r="L28" s="902"/>
      <c r="M28" s="862"/>
      <c r="N28" s="863"/>
      <c r="O28" s="863"/>
      <c r="P28" s="863"/>
      <c r="Q28" s="863"/>
      <c r="R28" s="864"/>
      <c r="S28" s="908"/>
      <c r="T28" s="862"/>
      <c r="U28" s="863"/>
      <c r="V28" s="863"/>
      <c r="W28" s="863"/>
      <c r="X28" s="863"/>
      <c r="Y28" s="863"/>
      <c r="Z28" s="863"/>
      <c r="AA28" s="863"/>
      <c r="AB28" s="863"/>
      <c r="AC28" s="863"/>
      <c r="AD28" s="863"/>
      <c r="AE28" s="864"/>
      <c r="AG28" s="203">
        <f t="shared" si="9"/>
        <v>0</v>
      </c>
      <c r="AH28" s="203">
        <f t="shared" si="10"/>
        <v>0</v>
      </c>
      <c r="AI28" s="203">
        <f t="shared" si="11"/>
        <v>0</v>
      </c>
    </row>
    <row r="29" spans="1:35" s="8" customFormat="1" ht="15.95" customHeight="1" thickBot="1" x14ac:dyDescent="0.3">
      <c r="A29" s="208" t="str">
        <f>IF(Datenquelle!$F$3&gt;0,IF(Datenquelle!$F$3=1,"EZ",IF(Datenquelle!$F$3&gt;1,"relevant","?")),"nicht relevant")</f>
        <v>nicht relevant</v>
      </c>
      <c r="B29" s="210" t="s">
        <v>1218</v>
      </c>
      <c r="C29" s="230">
        <f t="shared" si="8"/>
        <v>0</v>
      </c>
      <c r="D29" s="206" t="str">
        <f>IF(Basisdaten!D30="","",Basisdaten!D30)</f>
        <v/>
      </c>
      <c r="E29" s="206" t="str">
        <f>IF(Basisdaten!E30="","",Basisdaten!E30)</f>
        <v/>
      </c>
      <c r="F29" s="206" t="str">
        <f>IF(Basisdaten!F30="","",Basisdaten!F30)</f>
        <v/>
      </c>
      <c r="G29" s="206" t="str">
        <f>IF(Basisdaten!G30="","",Basisdaten!G30)</f>
        <v/>
      </c>
      <c r="H29" s="206" t="str">
        <f>IF(Basisdaten!H30="","",Basisdaten!H30)</f>
        <v/>
      </c>
      <c r="I29" s="206" t="str">
        <f>IF(Basisdaten!I30="","",Basisdaten!I30)</f>
        <v/>
      </c>
      <c r="J29" s="206" t="str">
        <f>IF(Basisdaten!J30="","",Basisdaten!J30)</f>
        <v/>
      </c>
      <c r="K29" s="246" t="str">
        <f>IF(Basisdaten!K30="","",Basisdaten!K30)</f>
        <v/>
      </c>
      <c r="L29" s="903"/>
      <c r="M29" s="831"/>
      <c r="N29" s="832"/>
      <c r="O29" s="832"/>
      <c r="P29" s="832"/>
      <c r="Q29" s="832"/>
      <c r="R29" s="833"/>
      <c r="S29" s="909"/>
      <c r="T29" s="831"/>
      <c r="U29" s="832"/>
      <c r="V29" s="832"/>
      <c r="W29" s="832"/>
      <c r="X29" s="832"/>
      <c r="Y29" s="832"/>
      <c r="Z29" s="832"/>
      <c r="AA29" s="832"/>
      <c r="AB29" s="832"/>
      <c r="AC29" s="832"/>
      <c r="AD29" s="832"/>
      <c r="AE29" s="833"/>
      <c r="AG29" s="42"/>
    </row>
    <row r="30" spans="1:35" ht="5.25" customHeight="1" x14ac:dyDescent="0.25">
      <c r="A30"/>
      <c r="B30"/>
      <c r="C30"/>
      <c r="D30"/>
      <c r="E30"/>
      <c r="F30"/>
      <c r="G30"/>
      <c r="H30"/>
      <c r="I30"/>
      <c r="J30"/>
      <c r="K30"/>
      <c r="L30"/>
      <c r="M30"/>
      <c r="N30"/>
      <c r="O30"/>
      <c r="P30"/>
      <c r="Q30"/>
      <c r="R30"/>
      <c r="S30"/>
      <c r="T30"/>
      <c r="U30"/>
      <c r="V30"/>
      <c r="W30"/>
      <c r="X30"/>
      <c r="Y30"/>
      <c r="Z30"/>
      <c r="AA30"/>
      <c r="AB30"/>
      <c r="AC30"/>
      <c r="AD30"/>
      <c r="AE30"/>
    </row>
    <row r="31" spans="1:35" ht="15.75" customHeight="1" x14ac:dyDescent="0.25">
      <c r="A31"/>
      <c r="B31"/>
      <c r="C31"/>
      <c r="D31"/>
      <c r="E31"/>
      <c r="F31"/>
      <c r="G31"/>
      <c r="H31"/>
      <c r="J31" s="50" t="s">
        <v>1219</v>
      </c>
      <c r="L31"/>
      <c r="M31"/>
      <c r="N31"/>
      <c r="O31"/>
      <c r="P31"/>
      <c r="Q31"/>
      <c r="R31" s="173" t="str">
        <f>IF(A27="EZ","-----",IF(A27= "nicht relevant","-----",IF(COUNTBLANK(R25:R27)=3,"",SUMIF(A25:A27,"relevant",R25:R27) /COUNTIF(A25:A27,"relevant"))))</f>
        <v>-----</v>
      </c>
      <c r="S31"/>
      <c r="T31"/>
      <c r="U31"/>
      <c r="V31"/>
      <c r="W31"/>
      <c r="X31"/>
      <c r="Y31"/>
      <c r="Z31"/>
      <c r="AA31"/>
      <c r="AB31"/>
      <c r="AC31"/>
      <c r="AD31"/>
      <c r="AE31"/>
    </row>
    <row r="32" spans="1:35" s="5" customFormat="1" ht="21.75" customHeight="1" x14ac:dyDescent="0.2">
      <c r="A32" s="855" t="s">
        <v>69</v>
      </c>
      <c r="B32" s="855"/>
      <c r="C32" s="855"/>
      <c r="D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row>
    <row r="33" spans="1:31" s="5" customFormat="1" ht="36" customHeight="1" x14ac:dyDescent="0.25">
      <c r="A33" s="658" t="s">
        <v>1220</v>
      </c>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row>
    <row r="34" spans="1:31" s="5" customFormat="1" ht="14.1" customHeight="1" x14ac:dyDescent="0.25">
      <c r="A34" s="855" t="s">
        <v>76</v>
      </c>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row>
    <row r="35" spans="1:31" s="5" customFormat="1" ht="14.1" customHeight="1" x14ac:dyDescent="0.25">
      <c r="A35" s="855" t="s">
        <v>1050</v>
      </c>
      <c r="B35" s="806"/>
      <c r="C35" s="806"/>
      <c r="D35" s="806"/>
      <c r="E35" s="806"/>
      <c r="F35" s="806"/>
      <c r="G35" s="806"/>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row>
    <row r="36" spans="1:31" s="5" customFormat="1" ht="14.1" customHeight="1" x14ac:dyDescent="0.25">
      <c r="A36" s="855" t="s">
        <v>663</v>
      </c>
      <c r="B36" s="806"/>
      <c r="C36" s="806"/>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row>
    <row r="37" spans="1:31" s="5" customFormat="1" ht="35.25" customHeight="1" x14ac:dyDescent="0.25">
      <c r="A37" s="658" t="s">
        <v>1244</v>
      </c>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row>
    <row r="38" spans="1:31" s="5" customFormat="1" ht="23.25" customHeight="1" x14ac:dyDescent="0.25">
      <c r="A38" s="658" t="s">
        <v>664</v>
      </c>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row>
    <row r="39" spans="1:31" s="5" customFormat="1" ht="45.75" customHeight="1" x14ac:dyDescent="0.25">
      <c r="A39" s="658" t="s">
        <v>1245</v>
      </c>
      <c r="B39" s="806"/>
      <c r="C39" s="806"/>
      <c r="D39" s="806"/>
      <c r="E39" s="806"/>
      <c r="F39" s="806"/>
      <c r="G39" s="806"/>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row>
    <row r="40" spans="1:31" s="5" customFormat="1" ht="68.25" customHeight="1" x14ac:dyDescent="0.25">
      <c r="A40" s="658" t="s">
        <v>1246</v>
      </c>
      <c r="B40" s="806"/>
      <c r="C40" s="806"/>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row>
    <row r="41" spans="1:31" s="5" customFormat="1" ht="24.75" customHeight="1" x14ac:dyDescent="0.25">
      <c r="A41" s="658" t="s">
        <v>1001</v>
      </c>
      <c r="B41" s="856"/>
      <c r="C41" s="856"/>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row>
    <row r="42" spans="1:31" s="5" customFormat="1" ht="42" customHeight="1" x14ac:dyDescent="0.25">
      <c r="A42" s="838" t="s">
        <v>1247</v>
      </c>
      <c r="B42" s="839"/>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454"/>
    </row>
    <row r="43" spans="1:31" s="5" customFormat="1" ht="14.1" customHeight="1" x14ac:dyDescent="0.2">
      <c r="A43" s="46" t="s">
        <v>437</v>
      </c>
      <c r="AE43" s="50"/>
    </row>
    <row r="44" spans="1:31" s="5" customFormat="1" ht="14.1" customHeight="1" x14ac:dyDescent="0.2">
      <c r="A44" s="28" t="s">
        <v>1002</v>
      </c>
      <c r="AE44" s="50"/>
    </row>
    <row r="45" spans="1:31" s="28" customFormat="1" ht="14.1" customHeight="1" x14ac:dyDescent="0.25">
      <c r="A45" s="28" t="s">
        <v>512</v>
      </c>
    </row>
    <row r="46" spans="1:31" s="5" customFormat="1" ht="14.1" customHeight="1" x14ac:dyDescent="0.2">
      <c r="A46" s="58" t="s">
        <v>506</v>
      </c>
      <c r="B46" s="28" t="s">
        <v>1051</v>
      </c>
      <c r="AE46" s="50"/>
    </row>
    <row r="47" spans="1:31" s="5" customFormat="1" ht="14.1" customHeight="1" x14ac:dyDescent="0.2">
      <c r="A47" s="58" t="s">
        <v>507</v>
      </c>
      <c r="B47" s="28" t="s">
        <v>638</v>
      </c>
      <c r="AE47" s="50"/>
    </row>
    <row r="48" spans="1:31" s="5" customFormat="1" ht="14.1" customHeight="1" x14ac:dyDescent="0.2">
      <c r="A48" s="58" t="s">
        <v>508</v>
      </c>
      <c r="B48" s="28" t="s">
        <v>189</v>
      </c>
      <c r="AE48" s="50"/>
    </row>
    <row r="49" spans="1:31" s="5" customFormat="1" ht="14.1" customHeight="1" x14ac:dyDescent="0.2">
      <c r="A49" s="60" t="s">
        <v>509</v>
      </c>
      <c r="B49" s="28" t="s">
        <v>195</v>
      </c>
      <c r="AE49" s="50"/>
    </row>
    <row r="50" spans="1:31" s="5" customFormat="1" ht="14.1" customHeight="1" x14ac:dyDescent="0.2">
      <c r="A50" s="58" t="s">
        <v>510</v>
      </c>
      <c r="B50" s="28" t="s">
        <v>655</v>
      </c>
      <c r="AE50" s="50"/>
    </row>
    <row r="51" spans="1:31" s="5" customFormat="1" ht="21.75" customHeight="1" x14ac:dyDescent="0.2">
      <c r="A51" s="68" t="s">
        <v>496</v>
      </c>
      <c r="I51" s="59"/>
    </row>
    <row r="52" spans="1:31" s="5" customFormat="1" ht="14.1" customHeight="1" x14ac:dyDescent="0.2">
      <c r="A52" s="28" t="s">
        <v>497</v>
      </c>
      <c r="I52" s="59"/>
    </row>
    <row r="53" spans="1:31" s="5" customFormat="1" ht="14.1" customHeight="1" x14ac:dyDescent="0.2">
      <c r="A53" s="28" t="s">
        <v>498</v>
      </c>
      <c r="I53" s="59"/>
    </row>
    <row r="54" spans="1:31" s="5" customFormat="1" ht="14.1" customHeight="1" x14ac:dyDescent="0.2">
      <c r="A54" s="28" t="s">
        <v>651</v>
      </c>
      <c r="I54" s="59"/>
    </row>
    <row r="55" spans="1:31" s="2" customFormat="1" ht="15.75" customHeight="1" x14ac:dyDescent="0.2">
      <c r="A55" s="6"/>
      <c r="I55" s="23"/>
    </row>
    <row r="56" spans="1:31" s="5" customFormat="1" ht="14.1" customHeight="1" x14ac:dyDescent="0.2">
      <c r="A56" s="61" t="s">
        <v>432</v>
      </c>
      <c r="I56" s="59"/>
    </row>
    <row r="57" spans="1:31" s="5" customFormat="1" ht="21" customHeight="1" x14ac:dyDescent="0.25">
      <c r="A57" s="824" t="s">
        <v>3</v>
      </c>
      <c r="B57" s="809"/>
      <c r="C57" s="807" t="s">
        <v>196</v>
      </c>
      <c r="D57" s="808"/>
      <c r="E57" s="808"/>
      <c r="F57" s="809"/>
      <c r="G57" s="815" t="s">
        <v>373</v>
      </c>
      <c r="H57" s="816"/>
      <c r="I57" s="817"/>
      <c r="J57" s="852" t="s">
        <v>502</v>
      </c>
      <c r="K57" s="853"/>
      <c r="L57" s="853"/>
      <c r="M57" s="853"/>
      <c r="N57" s="853"/>
      <c r="O57" s="853"/>
      <c r="P57" s="853"/>
      <c r="Q57" s="853"/>
      <c r="R57" s="853"/>
      <c r="S57" s="853"/>
      <c r="T57" s="853"/>
      <c r="U57" s="853"/>
      <c r="V57" s="853"/>
      <c r="W57" s="853"/>
      <c r="X57" s="853"/>
      <c r="Y57" s="853"/>
      <c r="Z57" s="853"/>
      <c r="AA57" s="853"/>
      <c r="AB57" s="853"/>
      <c r="AC57" s="853"/>
      <c r="AD57" s="853"/>
      <c r="AE57" s="854"/>
    </row>
    <row r="58" spans="1:31" s="5" customFormat="1" ht="14.1" customHeight="1" x14ac:dyDescent="0.25">
      <c r="A58" s="810" t="s">
        <v>480</v>
      </c>
      <c r="B58" s="809"/>
      <c r="C58" s="810" t="s">
        <v>144</v>
      </c>
      <c r="D58" s="811"/>
      <c r="E58" s="811"/>
      <c r="F58" s="809"/>
      <c r="G58" s="821"/>
      <c r="H58" s="822"/>
      <c r="I58" s="823"/>
      <c r="J58" s="799" t="s">
        <v>248</v>
      </c>
      <c r="K58" s="802"/>
      <c r="L58" s="802"/>
      <c r="M58" s="802"/>
      <c r="N58" s="802"/>
      <c r="O58" s="802"/>
      <c r="P58" s="802"/>
      <c r="Q58" s="802"/>
      <c r="R58" s="802"/>
      <c r="S58" s="802"/>
      <c r="T58" s="802"/>
      <c r="U58" s="802"/>
      <c r="V58" s="802"/>
      <c r="W58" s="802"/>
      <c r="X58" s="802"/>
      <c r="Y58" s="802"/>
      <c r="Z58" s="802"/>
      <c r="AA58" s="802"/>
      <c r="AB58" s="802"/>
      <c r="AC58" s="802"/>
      <c r="AD58" s="802"/>
      <c r="AE58" s="803"/>
    </row>
    <row r="59" spans="1:31" s="5" customFormat="1" ht="14.1" customHeight="1" x14ac:dyDescent="0.25">
      <c r="A59" s="810" t="s">
        <v>480</v>
      </c>
      <c r="B59" s="809"/>
      <c r="C59" s="810" t="s">
        <v>503</v>
      </c>
      <c r="D59" s="811"/>
      <c r="E59" s="811"/>
      <c r="F59" s="809"/>
      <c r="G59" s="818"/>
      <c r="H59" s="819"/>
      <c r="I59" s="820"/>
      <c r="J59" s="64" t="s">
        <v>648</v>
      </c>
      <c r="K59" s="65"/>
      <c r="L59" s="65"/>
      <c r="M59" s="65"/>
      <c r="N59" s="65"/>
      <c r="O59" s="65"/>
      <c r="P59" s="65"/>
      <c r="Q59" s="65"/>
      <c r="R59" s="65"/>
      <c r="S59" s="62"/>
      <c r="T59" s="62"/>
      <c r="U59" s="62"/>
      <c r="V59" s="62"/>
      <c r="W59" s="62"/>
      <c r="X59" s="62"/>
      <c r="Y59" s="62"/>
      <c r="Z59" s="62"/>
      <c r="AA59" s="62"/>
      <c r="AB59" s="62"/>
      <c r="AC59" s="62"/>
      <c r="AD59" s="62"/>
      <c r="AE59" s="63"/>
    </row>
    <row r="60" spans="1:31" s="5" customFormat="1" ht="22.5" customHeight="1" x14ac:dyDescent="0.25">
      <c r="A60" s="810" t="s">
        <v>501</v>
      </c>
      <c r="B60" s="809"/>
      <c r="C60" s="810" t="s">
        <v>197</v>
      </c>
      <c r="D60" s="811"/>
      <c r="E60" s="811"/>
      <c r="F60" s="809"/>
      <c r="G60" s="834" t="s">
        <v>670</v>
      </c>
      <c r="H60" s="835"/>
      <c r="I60" s="835"/>
      <c r="J60" s="799" t="s">
        <v>647</v>
      </c>
      <c r="K60" s="800"/>
      <c r="L60" s="800"/>
      <c r="M60" s="800"/>
      <c r="N60" s="800"/>
      <c r="O60" s="800"/>
      <c r="P60" s="800"/>
      <c r="Q60" s="800"/>
      <c r="R60" s="800"/>
      <c r="S60" s="800"/>
      <c r="T60" s="800"/>
      <c r="U60" s="800"/>
      <c r="V60" s="800"/>
      <c r="W60" s="800"/>
      <c r="X60" s="800"/>
      <c r="Y60" s="800"/>
      <c r="Z60" s="800"/>
      <c r="AA60" s="800"/>
      <c r="AB60" s="800"/>
      <c r="AC60" s="800"/>
      <c r="AD60" s="800"/>
      <c r="AE60" s="801"/>
    </row>
    <row r="61" spans="1:31" s="5" customFormat="1" ht="14.25" customHeight="1" x14ac:dyDescent="0.2">
      <c r="A61" s="836" t="s">
        <v>59</v>
      </c>
      <c r="B61" s="837"/>
      <c r="C61" s="836" t="s">
        <v>75</v>
      </c>
      <c r="D61" s="849"/>
      <c r="E61" s="849"/>
      <c r="F61" s="837"/>
      <c r="G61" s="812" t="s">
        <v>461</v>
      </c>
      <c r="H61" s="813"/>
      <c r="I61" s="814"/>
      <c r="J61" s="857" t="s">
        <v>74</v>
      </c>
      <c r="K61" s="858"/>
      <c r="L61" s="858"/>
      <c r="M61" s="858"/>
      <c r="N61" s="858"/>
      <c r="O61" s="858"/>
      <c r="P61" s="858"/>
      <c r="Q61" s="858"/>
      <c r="R61" s="858"/>
      <c r="S61" s="858"/>
      <c r="T61" s="858"/>
      <c r="U61" s="858"/>
      <c r="V61" s="858"/>
      <c r="W61" s="858"/>
      <c r="X61" s="858"/>
      <c r="Y61" s="858"/>
      <c r="Z61" s="858"/>
      <c r="AA61" s="858"/>
      <c r="AB61" s="858"/>
      <c r="AC61" s="858"/>
      <c r="AD61" s="858"/>
      <c r="AE61" s="859"/>
    </row>
    <row r="62" spans="1:31" s="5" customFormat="1" ht="14.25" customHeight="1" x14ac:dyDescent="0.25">
      <c r="A62" s="810" t="s">
        <v>285</v>
      </c>
      <c r="B62" s="809"/>
      <c r="C62" s="810" t="s">
        <v>80</v>
      </c>
      <c r="D62" s="811"/>
      <c r="E62" s="811"/>
      <c r="F62" s="809"/>
      <c r="G62" s="812" t="s">
        <v>461</v>
      </c>
      <c r="H62" s="813"/>
      <c r="I62" s="814"/>
      <c r="J62" s="799" t="s">
        <v>78</v>
      </c>
      <c r="K62" s="802"/>
      <c r="L62" s="802"/>
      <c r="M62" s="802"/>
      <c r="N62" s="802"/>
      <c r="O62" s="802"/>
      <c r="P62" s="802"/>
      <c r="Q62" s="802"/>
      <c r="R62" s="802"/>
      <c r="S62" s="802"/>
      <c r="T62" s="802"/>
      <c r="U62" s="802"/>
      <c r="V62" s="802"/>
      <c r="W62" s="802"/>
      <c r="X62" s="802"/>
      <c r="Y62" s="802"/>
      <c r="Z62" s="802"/>
      <c r="AA62" s="802"/>
      <c r="AB62" s="802"/>
      <c r="AC62" s="802"/>
      <c r="AD62" s="802"/>
      <c r="AE62" s="803"/>
    </row>
    <row r="63" spans="1:31" s="5" customFormat="1" ht="14.25" customHeight="1" x14ac:dyDescent="0.25">
      <c r="A63" s="810" t="s">
        <v>288</v>
      </c>
      <c r="B63" s="809"/>
      <c r="C63" s="810" t="s">
        <v>79</v>
      </c>
      <c r="D63" s="811"/>
      <c r="E63" s="811"/>
      <c r="F63" s="809"/>
      <c r="G63" s="812" t="s">
        <v>461</v>
      </c>
      <c r="H63" s="813"/>
      <c r="I63" s="814"/>
      <c r="J63" s="799" t="s">
        <v>77</v>
      </c>
      <c r="K63" s="802"/>
      <c r="L63" s="802"/>
      <c r="M63" s="802"/>
      <c r="N63" s="802"/>
      <c r="O63" s="802"/>
      <c r="P63" s="802"/>
      <c r="Q63" s="802"/>
      <c r="R63" s="802"/>
      <c r="S63" s="802"/>
      <c r="T63" s="802"/>
      <c r="U63" s="802"/>
      <c r="V63" s="802"/>
      <c r="W63" s="802"/>
      <c r="X63" s="802"/>
      <c r="Y63" s="802"/>
      <c r="Z63" s="802"/>
      <c r="AA63" s="802"/>
      <c r="AB63" s="802"/>
      <c r="AC63" s="802"/>
      <c r="AD63" s="802"/>
      <c r="AE63" s="803"/>
    </row>
    <row r="64" spans="1:31" s="5" customFormat="1" ht="14.1" customHeight="1" x14ac:dyDescent="0.25">
      <c r="A64" s="810" t="s">
        <v>289</v>
      </c>
      <c r="B64" s="809"/>
      <c r="C64" s="810" t="s">
        <v>206</v>
      </c>
      <c r="D64" s="811"/>
      <c r="E64" s="811"/>
      <c r="F64" s="809"/>
      <c r="G64" s="829" t="s">
        <v>461</v>
      </c>
      <c r="H64" s="830"/>
      <c r="I64" s="830"/>
      <c r="J64" s="799" t="s">
        <v>68</v>
      </c>
      <c r="K64" s="802"/>
      <c r="L64" s="802"/>
      <c r="M64" s="802"/>
      <c r="N64" s="802"/>
      <c r="O64" s="802"/>
      <c r="P64" s="802"/>
      <c r="Q64" s="802"/>
      <c r="R64" s="802"/>
      <c r="S64" s="802"/>
      <c r="T64" s="802"/>
      <c r="U64" s="802"/>
      <c r="V64" s="802"/>
      <c r="W64" s="802"/>
      <c r="X64" s="802"/>
      <c r="Y64" s="802"/>
      <c r="Z64" s="802"/>
      <c r="AA64" s="802"/>
      <c r="AB64" s="802"/>
      <c r="AC64" s="802"/>
      <c r="AD64" s="802"/>
      <c r="AE64" s="803"/>
    </row>
    <row r="65" spans="1:31" s="5" customFormat="1" ht="14.1" customHeight="1" x14ac:dyDescent="0.25">
      <c r="A65" s="810" t="s">
        <v>70</v>
      </c>
      <c r="B65" s="809"/>
      <c r="C65" s="810" t="s">
        <v>808</v>
      </c>
      <c r="D65" s="811"/>
      <c r="E65" s="811"/>
      <c r="F65" s="809"/>
      <c r="G65" s="829" t="s">
        <v>461</v>
      </c>
      <c r="H65" s="830"/>
      <c r="I65" s="830"/>
      <c r="J65" s="799" t="s">
        <v>71</v>
      </c>
      <c r="K65" s="802"/>
      <c r="L65" s="802"/>
      <c r="M65" s="802"/>
      <c r="N65" s="802"/>
      <c r="O65" s="802"/>
      <c r="P65" s="802"/>
      <c r="Q65" s="802"/>
      <c r="R65" s="802"/>
      <c r="S65" s="802"/>
      <c r="T65" s="802"/>
      <c r="U65" s="802"/>
      <c r="V65" s="802"/>
      <c r="W65" s="802"/>
      <c r="X65" s="802"/>
      <c r="Y65" s="802"/>
      <c r="Z65" s="802"/>
      <c r="AA65" s="802"/>
      <c r="AB65" s="802"/>
      <c r="AC65" s="802"/>
      <c r="AD65" s="802"/>
      <c r="AE65" s="803"/>
    </row>
    <row r="66" spans="1:31" s="5" customFormat="1" ht="14.1" customHeight="1" x14ac:dyDescent="0.25">
      <c r="A66" s="810" t="s">
        <v>72</v>
      </c>
      <c r="B66" s="809"/>
      <c r="C66" s="810" t="s">
        <v>809</v>
      </c>
      <c r="D66" s="811"/>
      <c r="E66" s="811"/>
      <c r="F66" s="809"/>
      <c r="G66" s="812" t="s">
        <v>461</v>
      </c>
      <c r="H66" s="813"/>
      <c r="I66" s="814"/>
      <c r="J66" s="799" t="s">
        <v>73</v>
      </c>
      <c r="K66" s="800"/>
      <c r="L66" s="800"/>
      <c r="M66" s="800"/>
      <c r="N66" s="800"/>
      <c r="O66" s="800"/>
      <c r="P66" s="800"/>
      <c r="Q66" s="800"/>
      <c r="R66" s="800"/>
      <c r="S66" s="800"/>
      <c r="T66" s="800"/>
      <c r="U66" s="800"/>
      <c r="V66" s="800"/>
      <c r="W66" s="800"/>
      <c r="X66" s="800"/>
      <c r="Y66" s="800"/>
      <c r="Z66" s="800"/>
      <c r="AA66" s="800"/>
      <c r="AB66" s="800"/>
      <c r="AC66" s="800"/>
      <c r="AD66" s="800"/>
      <c r="AE66" s="801"/>
    </row>
    <row r="67" spans="1:31" s="5" customFormat="1" ht="21.75" customHeight="1" x14ac:dyDescent="0.25">
      <c r="A67" s="810" t="s">
        <v>1031</v>
      </c>
      <c r="B67" s="809"/>
      <c r="C67" s="810" t="s">
        <v>1032</v>
      </c>
      <c r="D67" s="811"/>
      <c r="E67" s="811"/>
      <c r="F67" s="809"/>
      <c r="G67" s="827" t="s">
        <v>673</v>
      </c>
      <c r="H67" s="828"/>
      <c r="I67" s="828"/>
      <c r="J67" s="799" t="s">
        <v>1221</v>
      </c>
      <c r="K67" s="802"/>
      <c r="L67" s="802"/>
      <c r="M67" s="802"/>
      <c r="N67" s="802"/>
      <c r="O67" s="802"/>
      <c r="P67" s="802"/>
      <c r="Q67" s="802"/>
      <c r="R67" s="802"/>
      <c r="S67" s="802"/>
      <c r="T67" s="802"/>
      <c r="U67" s="802"/>
      <c r="V67" s="802"/>
      <c r="W67" s="802"/>
      <c r="X67" s="802"/>
      <c r="Y67" s="802"/>
      <c r="Z67" s="802"/>
      <c r="AA67" s="802"/>
      <c r="AB67" s="802"/>
      <c r="AC67" s="802"/>
      <c r="AD67" s="802"/>
      <c r="AE67" s="803"/>
    </row>
    <row r="68" spans="1:31" s="5" customFormat="1" ht="14.1" customHeight="1" x14ac:dyDescent="0.25">
      <c r="A68" s="810" t="s">
        <v>278</v>
      </c>
      <c r="B68" s="809"/>
      <c r="C68" s="810" t="s">
        <v>207</v>
      </c>
      <c r="D68" s="811"/>
      <c r="E68" s="811"/>
      <c r="F68" s="809"/>
      <c r="G68" s="825" t="s">
        <v>440</v>
      </c>
      <c r="H68" s="826"/>
      <c r="I68" s="826"/>
      <c r="J68" s="799" t="s">
        <v>656</v>
      </c>
      <c r="K68" s="802"/>
      <c r="L68" s="802"/>
      <c r="M68" s="802"/>
      <c r="N68" s="802"/>
      <c r="O68" s="802"/>
      <c r="P68" s="802"/>
      <c r="Q68" s="802"/>
      <c r="R68" s="802"/>
      <c r="S68" s="802"/>
      <c r="T68" s="802"/>
      <c r="U68" s="802"/>
      <c r="V68" s="802"/>
      <c r="W68" s="802"/>
      <c r="X68" s="802"/>
      <c r="Y68" s="802"/>
      <c r="Z68" s="802"/>
      <c r="AA68" s="802"/>
      <c r="AB68" s="802"/>
      <c r="AC68" s="802"/>
      <c r="AD68" s="802"/>
      <c r="AE68" s="803"/>
    </row>
    <row r="69" spans="1:31" s="5" customFormat="1" ht="14.1" customHeight="1" x14ac:dyDescent="0.25">
      <c r="A69" s="810" t="s">
        <v>1033</v>
      </c>
      <c r="B69" s="809"/>
      <c r="C69" s="810" t="s">
        <v>208</v>
      </c>
      <c r="D69" s="811"/>
      <c r="E69" s="811"/>
      <c r="F69" s="809"/>
      <c r="G69" s="825" t="s">
        <v>440</v>
      </c>
      <c r="H69" s="826"/>
      <c r="I69" s="826"/>
      <c r="J69" s="66" t="s">
        <v>644</v>
      </c>
      <c r="K69" s="66"/>
      <c r="L69" s="66"/>
      <c r="M69" s="66"/>
      <c r="N69" s="66"/>
      <c r="O69" s="66"/>
      <c r="P69" s="66"/>
      <c r="Q69" s="66"/>
      <c r="R69" s="66"/>
      <c r="S69" s="51"/>
      <c r="T69" s="51"/>
      <c r="U69" s="51"/>
      <c r="V69" s="51"/>
      <c r="W69" s="51"/>
      <c r="X69" s="51"/>
      <c r="Y69" s="51"/>
      <c r="Z69" s="51"/>
      <c r="AA69" s="51"/>
      <c r="AB69" s="51"/>
      <c r="AC69" s="51"/>
      <c r="AD69" s="51"/>
      <c r="AE69" s="67"/>
    </row>
    <row r="70" spans="1:31" s="5" customFormat="1" ht="14.1" customHeight="1" x14ac:dyDescent="0.25">
      <c r="A70" s="810" t="s">
        <v>1031</v>
      </c>
      <c r="B70" s="809"/>
      <c r="C70" s="810" t="s">
        <v>1034</v>
      </c>
      <c r="D70" s="811"/>
      <c r="E70" s="811"/>
      <c r="F70" s="809"/>
      <c r="G70" s="825" t="s">
        <v>440</v>
      </c>
      <c r="H70" s="826"/>
      <c r="I70" s="826"/>
      <c r="J70" s="799" t="s">
        <v>1222</v>
      </c>
      <c r="K70" s="800"/>
      <c r="L70" s="800"/>
      <c r="M70" s="800"/>
      <c r="N70" s="800"/>
      <c r="O70" s="800"/>
      <c r="P70" s="800"/>
      <c r="Q70" s="800"/>
      <c r="R70" s="800"/>
      <c r="S70" s="800"/>
      <c r="T70" s="800"/>
      <c r="U70" s="800"/>
      <c r="V70" s="800"/>
      <c r="W70" s="800"/>
      <c r="X70" s="800"/>
      <c r="Y70" s="800"/>
      <c r="Z70" s="800"/>
      <c r="AA70" s="800"/>
      <c r="AB70" s="800"/>
      <c r="AC70" s="800"/>
      <c r="AD70" s="800"/>
      <c r="AE70" s="801"/>
    </row>
    <row r="72" spans="1:31" ht="17.25" customHeight="1" x14ac:dyDescent="0.2"/>
    <row r="74" spans="1:31" ht="10.5" customHeight="1" x14ac:dyDescent="0.2"/>
    <row r="75" spans="1:31" ht="8.25" hidden="1" customHeight="1" x14ac:dyDescent="0.2"/>
    <row r="76" spans="1:31" ht="14.25" hidden="1" customHeight="1" x14ac:dyDescent="0.2">
      <c r="A76" s="36" t="str">
        <f>Berechnung2!B32</f>
        <v>Matrix</v>
      </c>
      <c r="C76" s="36"/>
      <c r="D76" s="36"/>
      <c r="E76" s="37"/>
      <c r="F76" s="37"/>
      <c r="G76" s="37"/>
      <c r="H76" s="37"/>
      <c r="I76" s="37"/>
      <c r="J76" s="37"/>
      <c r="K76" s="37"/>
      <c r="L76" s="37"/>
      <c r="M76" s="37"/>
      <c r="N76" s="36"/>
      <c r="O76" s="36"/>
      <c r="P76" s="36"/>
      <c r="Q76" s="36"/>
      <c r="R76" s="36"/>
      <c r="S76" s="36"/>
      <c r="T76" s="36"/>
      <c r="AE76" s="1"/>
    </row>
    <row r="77" spans="1:31" ht="14.25" hidden="1" customHeight="1" x14ac:dyDescent="0.2">
      <c r="A77" s="36" t="str">
        <f>IF(Berechnung2!B33="","",Berechnung2!B33)</f>
        <v>ART</v>
      </c>
      <c r="B77" s="36" t="str">
        <f>IF(Berechnung2!C33="","",Berechnung2!C33)</f>
        <v/>
      </c>
      <c r="C77" s="36" t="str">
        <f>IF(Berechnung2!D33="","",Berechnung2!D33)</f>
        <v/>
      </c>
      <c r="E77" s="36" t="str">
        <f>IF(Berechnung2!E33="","",Berechnung2!E33)</f>
        <v/>
      </c>
      <c r="F77" s="36" t="str">
        <f>IF(Berechnung2!F33="","",Berechnung2!F33)</f>
        <v>Werte</v>
      </c>
      <c r="G77" s="36" t="str">
        <f>IF(Berechnung2!G33="","",Berechnung2!G33)</f>
        <v/>
      </c>
      <c r="H77" s="36" t="str">
        <f>IF(Berechnung2!H33="","",Berechnung2!H33)</f>
        <v/>
      </c>
      <c r="I77" s="36" t="str">
        <f>IF(Berechnung2!I33="","",Berechnung2!I33)</f>
        <v/>
      </c>
      <c r="J77" s="36" t="str">
        <f>IF(Berechnung2!J33="","",Berechnung2!J33)</f>
        <v/>
      </c>
      <c r="K77" s="36" t="str">
        <f>IF(Berechnung2!K33="","",Berechnung2!K33)</f>
        <v/>
      </c>
      <c r="M77" s="36" t="str">
        <f>IF(Berechnung2!L33="","",Berechnung2!L33)</f>
        <v>Texte Matrix Datenquali</v>
      </c>
      <c r="N77" s="36"/>
      <c r="O77" s="36"/>
      <c r="P77" s="36"/>
      <c r="Q77" s="36"/>
      <c r="R77" s="36"/>
      <c r="S77" s="36"/>
      <c r="T77" s="36"/>
      <c r="AE77" s="1"/>
    </row>
    <row r="78" spans="1:31" ht="14.25" hidden="1" customHeight="1" x14ac:dyDescent="0.2">
      <c r="A78" s="36" t="str">
        <f>IF(Berechnung2!B34="","",Berechnung2!B34)</f>
        <v>Ganze Zahlen</v>
      </c>
      <c r="B78" s="36" t="str">
        <f>IF(Berechnung2!C34="","",Berechnung2!C34)</f>
        <v/>
      </c>
      <c r="C78" s="36" t="str">
        <f>IF(Berechnung2!D34="","",Berechnung2!D34)</f>
        <v/>
      </c>
      <c r="E78" s="36" t="str">
        <f>IF(Berechnung2!E34="","",Berechnung2!E34)</f>
        <v>-----</v>
      </c>
      <c r="F78" s="36" t="str">
        <f>IF(Berechnung2!F34="","",Berechnung2!F34)</f>
        <v>-----</v>
      </c>
      <c r="G78" s="36" t="str">
        <f>IF(Berechnung2!G34="","",Berechnung2!G34)</f>
        <v>-----</v>
      </c>
      <c r="H78" s="36" t="str">
        <f>IF(Berechnung2!H34="","",Berechnung2!H34)</f>
        <v>-----</v>
      </c>
      <c r="I78" s="36" t="str">
        <f>IF(Berechnung2!I34="","",Berechnung2!I34)</f>
        <v>-----</v>
      </c>
      <c r="J78" s="36" t="str">
        <f>IF(Berechnung2!J34="","",Berechnung2!J34)</f>
        <v>-----</v>
      </c>
      <c r="K78" s="36" t="str">
        <f>IF(Berechnung2!K34="","",Berechnung2!K34)</f>
        <v>-----</v>
      </c>
      <c r="M78" s="36" t="str">
        <f>IF(Berechnung2!L34="","",Berechnung2!L34)</f>
        <v/>
      </c>
      <c r="N78" s="37"/>
      <c r="O78" s="37"/>
      <c r="P78" s="37"/>
      <c r="Q78" s="37"/>
      <c r="R78" s="37"/>
      <c r="S78" s="37"/>
      <c r="T78" s="37"/>
      <c r="U78" s="37"/>
      <c r="V78" s="37"/>
      <c r="W78" s="37"/>
      <c r="AE78" s="1"/>
    </row>
    <row r="79" spans="1:31" ht="14.25" hidden="1" customHeight="1" x14ac:dyDescent="0.2">
      <c r="A79" s="36" t="str">
        <f>IF(Berechnung2!B35="","",Berechnung2!B35)</f>
        <v>Relevante Nachsorgejahre nicht/unvollständig bearbeitet</v>
      </c>
      <c r="B79" s="36" t="str">
        <f>IF(Berechnung2!C35="","",Berechnung2!C35)</f>
        <v/>
      </c>
      <c r="C79" s="36" t="str">
        <f>IF(Berechnung2!D35="","",Berechnung2!D35)</f>
        <v>unvollständig</v>
      </c>
      <c r="E79" s="36" t="str">
        <f>IF(Berechnung2!E35="","",Berechnung2!E35)</f>
        <v>-----</v>
      </c>
      <c r="F79" s="36" t="str">
        <f>IF(Berechnung2!F35="","",Berechnung2!F35)</f>
        <v>-----</v>
      </c>
      <c r="G79" s="36" t="str">
        <f>IF(Berechnung2!G35="","",Berechnung2!G35)</f>
        <v>-----</v>
      </c>
      <c r="H79" s="36" t="str">
        <f>IF(Berechnung2!H35="","",Berechnung2!H35)</f>
        <v>-----</v>
      </c>
      <c r="I79" s="36" t="str">
        <f>IF(Berechnung2!I35="","",Berechnung2!I35)</f>
        <v>-----</v>
      </c>
      <c r="J79" s="36" t="str">
        <f>IF(Berechnung2!J35="","",Berechnung2!J35)</f>
        <v>-----</v>
      </c>
      <c r="K79" s="36" t="str">
        <f>IF(Berechnung2!K35="","",Berechnung2!K35)</f>
        <v>-----</v>
      </c>
      <c r="M79" s="36" t="str">
        <f>IF(Berechnung2!L35="","",Berechnung2!L35)</f>
        <v>relevante Nachsorgejahre nicht/unvollständig bearbeitet</v>
      </c>
      <c r="N79" s="37"/>
      <c r="O79" s="36"/>
      <c r="P79" s="36"/>
      <c r="Q79" s="36"/>
      <c r="R79" s="36"/>
      <c r="S79" s="36"/>
      <c r="T79" s="36"/>
      <c r="AE79" s="1"/>
    </row>
    <row r="80" spans="1:31" ht="14.25" hidden="1" customHeight="1" x14ac:dyDescent="0.2">
      <c r="A80" s="36" t="str">
        <f>IF(Berechnung2!B36="","",Berechnung2!B36)</f>
        <v>zu viele Patientinnen im "davon posttherapeutisch nicht tumorfrei"</v>
      </c>
      <c r="B80" s="36" t="str">
        <f>IF(Berechnung2!C36="","",Berechnung2!C36)</f>
        <v/>
      </c>
      <c r="C80" s="36" t="str">
        <f>IF(Berechnung2!D36="","",Berechnung2!D36)</f>
        <v>inkorrekt</v>
      </c>
      <c r="E80" s="36" t="str">
        <f>IF(Berechnung2!E36="","",Berechnung2!E36)</f>
        <v/>
      </c>
      <c r="F80" s="36" t="str">
        <f>IF(Berechnung2!F36="","",Berechnung2!F36)</f>
        <v/>
      </c>
      <c r="G80" s="36" t="str">
        <f>IF(Berechnung2!G36="","",Berechnung2!G36)</f>
        <v/>
      </c>
      <c r="H80" s="36" t="str">
        <f>IF(Berechnung2!H36="","",Berechnung2!H36)</f>
        <v/>
      </c>
      <c r="I80" s="36" t="str">
        <f>IF(Berechnung2!I36="","",Berechnung2!I36)</f>
        <v/>
      </c>
      <c r="J80" s="36" t="str">
        <f>IF(Berechnung2!J36="","",Berechnung2!J36)</f>
        <v/>
      </c>
      <c r="K80" s="36" t="str">
        <f>IF(Berechnung2!K36="","",Berechnung2!K36)</f>
        <v/>
      </c>
      <c r="M80" s="36" t="str">
        <f>IF(Berechnung2!L36="","",Berechnung2!L36)</f>
        <v xml:space="preserve">Werte in Spalte M müssen kleiner gleich sein als Spalte C </v>
      </c>
      <c r="N80" s="37"/>
      <c r="O80" s="36"/>
      <c r="P80" s="36"/>
      <c r="Q80" s="36"/>
      <c r="R80" s="36"/>
      <c r="S80" s="36"/>
      <c r="T80" s="36"/>
      <c r="AE80" s="1"/>
    </row>
    <row r="81" spans="1:31" ht="14.25" hidden="1" customHeight="1" x14ac:dyDescent="0.2">
      <c r="A81" s="36" t="str">
        <f>IF(Berechnung2!B37="","",Berechnung2!B37)</f>
        <v>wenn sich Minuswerte berechnen - "Grundgesamtheit Follow-Up"</v>
      </c>
      <c r="B81" s="36" t="str">
        <f>IF(Berechnung2!C37="","",Berechnung2!C37)</f>
        <v/>
      </c>
      <c r="C81" s="36" t="str">
        <f>IF(Berechnung2!D37="","",Berechnung2!D37)</f>
        <v>inkorrekt</v>
      </c>
      <c r="E81" s="36" t="str">
        <f>IF(Berechnung2!E37="","",Berechnung2!E37)</f>
        <v>&lt;</v>
      </c>
      <c r="F81" s="36" t="str">
        <f>IF(Berechnung2!F37="","",Berechnung2!F37)</f>
        <v>-----</v>
      </c>
      <c r="G81" s="36">
        <f>IF(Berechnung2!G37="","",Berechnung2!G37)</f>
        <v>0</v>
      </c>
      <c r="H81" s="36" t="str">
        <f>IF(Berechnung2!H37="","",Berechnung2!H37)</f>
        <v>-----</v>
      </c>
      <c r="I81" s="36" t="str">
        <f>IF(Berechnung2!I37="","",Berechnung2!I37)</f>
        <v>-----</v>
      </c>
      <c r="J81" s="36" t="str">
        <f>IF(Berechnung2!J37="","",Berechnung2!J37)</f>
        <v>-----</v>
      </c>
      <c r="K81" s="36" t="str">
        <f>IF(Berechnung2!K37="","",Berechnung2!K37)</f>
        <v>-----</v>
      </c>
      <c r="M81" s="36" t="str">
        <f>IF(Berechnung2!L37="","",Berechnung2!L37)</f>
        <v>Zahlen in Spalte N dürfen keine negativen Werte annehmen</v>
      </c>
      <c r="N81" s="37"/>
      <c r="O81" s="36"/>
      <c r="P81" s="36"/>
      <c r="Q81" s="36"/>
      <c r="R81" s="36"/>
      <c r="S81" s="36"/>
      <c r="T81" s="36"/>
      <c r="AE81" s="1"/>
    </row>
    <row r="82" spans="1:31" ht="14.25" hidden="1" customHeight="1" x14ac:dyDescent="0.2">
      <c r="A82" s="36" t="str">
        <f>IF(Berechnung2!B38="","",Berechnung2!B38)</f>
        <v>wenn sich Minuswerte berechnen - "keine Rückmeldung"</v>
      </c>
      <c r="B82" s="36" t="str">
        <f>IF(Berechnung2!C38="","",Berechnung2!C38)</f>
        <v/>
      </c>
      <c r="C82" s="36" t="str">
        <f>IF(Berechnung2!D38="","",Berechnung2!D38)</f>
        <v>inkorrekt</v>
      </c>
      <c r="E82" s="36" t="str">
        <f>IF(Berechnung2!E38="","",Berechnung2!E38)</f>
        <v>&lt;</v>
      </c>
      <c r="F82" s="36" t="str">
        <f>IF(Berechnung2!F38="","",Berechnung2!F38)</f>
        <v>-----</v>
      </c>
      <c r="G82" s="36">
        <f>IF(Berechnung2!G38="","",Berechnung2!G38)</f>
        <v>0</v>
      </c>
      <c r="H82" s="36" t="str">
        <f>IF(Berechnung2!H38="","",Berechnung2!H38)</f>
        <v>-----</v>
      </c>
      <c r="I82" s="36" t="str">
        <f>IF(Berechnung2!I38="","",Berechnung2!I38)</f>
        <v>-----</v>
      </c>
      <c r="J82" s="36" t="str">
        <f>IF(Berechnung2!J38="","",Berechnung2!J38)</f>
        <v>-----</v>
      </c>
      <c r="K82" s="36" t="str">
        <f>IF(Berechnung2!K38="","",Berechnung2!K38)</f>
        <v>-----</v>
      </c>
      <c r="M82" s="36" t="str">
        <f>IF(Berechnung2!L38="","",Berechnung2!L38)</f>
        <v>Zahlen in Spalte Q dürfen keine negativen Werte annehmen</v>
      </c>
      <c r="N82" s="37"/>
      <c r="O82" s="36"/>
      <c r="P82" s="36"/>
      <c r="Q82" s="36"/>
      <c r="R82" s="36"/>
      <c r="S82" s="36"/>
      <c r="T82" s="36"/>
      <c r="AE82" s="1"/>
    </row>
    <row r="83" spans="1:31" ht="14.25" hidden="1" customHeight="1" x14ac:dyDescent="0.2">
      <c r="A83" s="36" t="str">
        <f>IF(Berechnung2!B39="","",Berechnung2!B39)</f>
        <v xml:space="preserve">wenn sich Minuswerte berechnen - "kein Ereignis pro Fall eingetreten" </v>
      </c>
      <c r="B83" s="36" t="str">
        <f>IF(Berechnung2!C39="","",Berechnung2!C39)</f>
        <v/>
      </c>
      <c r="C83" s="36" t="str">
        <f>IF(Berechnung2!D39="","",Berechnung2!D39)</f>
        <v>inkorrekt</v>
      </c>
      <c r="E83" s="36" t="str">
        <f>IF(Berechnung2!E39="","",Berechnung2!E39)</f>
        <v>&lt;</v>
      </c>
      <c r="F83" s="36" t="str">
        <f>IF(Berechnung2!F39="","",Berechnung2!F39)</f>
        <v>-----</v>
      </c>
      <c r="G83" s="36">
        <f>IF(Berechnung2!G39="","",Berechnung2!G39)</f>
        <v>0</v>
      </c>
      <c r="H83" s="36" t="str">
        <f>IF(Berechnung2!H39="","",Berechnung2!H39)</f>
        <v>-----</v>
      </c>
      <c r="I83" s="36" t="str">
        <f>IF(Berechnung2!I39="","",Berechnung2!I39)</f>
        <v>-----</v>
      </c>
      <c r="J83" s="36" t="str">
        <f>IF(Berechnung2!J39="","",Berechnung2!J39)</f>
        <v>-----</v>
      </c>
      <c r="K83" s="36" t="str">
        <f>IF(Berechnung2!K39="","",Berechnung2!K39)</f>
        <v>-----</v>
      </c>
      <c r="M83" s="36" t="str">
        <f>IF(Berechnung2!L39="","",Berechnung2!L39)</f>
        <v>Zahlen in Spalte T dürfen keine negativen Werte annehmen</v>
      </c>
      <c r="N83" s="37"/>
      <c r="O83" s="36"/>
      <c r="P83" s="36"/>
      <c r="Q83" s="36"/>
      <c r="R83" s="36"/>
      <c r="S83" s="36"/>
      <c r="T83" s="36"/>
      <c r="AE83" s="1"/>
    </row>
    <row r="84" spans="1:31" ht="14.25" hidden="1" customHeight="1" x14ac:dyDescent="0.2">
      <c r="A84" s="36" t="str">
        <f>IF(Berechnung2!B40="","",Berechnung2!B40)</f>
        <v>Fehler bei Ereignisse - lebend</v>
      </c>
      <c r="B84" s="36" t="str">
        <f>IF(Berechnung2!C40="","",Berechnung2!C40)</f>
        <v/>
      </c>
      <c r="C84" s="36" t="str">
        <f>IF(Berechnung2!D40="","",Berechnung2!D40)</f>
        <v>inkorrekt</v>
      </c>
      <c r="E84" s="36" t="str">
        <f>IF(Berechnung2!E40="","",Berechnung2!E40)</f>
        <v>-----</v>
      </c>
      <c r="F84" s="36" t="str">
        <f>IF(Berechnung2!F40="","",Berechnung2!F40)</f>
        <v>-----</v>
      </c>
      <c r="G84" s="36" t="str">
        <f>IF(Berechnung2!G40="","",Berechnung2!G40)</f>
        <v>-----</v>
      </c>
      <c r="H84" s="36" t="str">
        <f>IF(Berechnung2!H40="","",Berechnung2!H40)</f>
        <v>-----</v>
      </c>
      <c r="I84" s="36" t="str">
        <f>IF(Berechnung2!I40="","",Berechnung2!I40)</f>
        <v>-----</v>
      </c>
      <c r="J84" s="36" t="str">
        <f>IF(Berechnung2!J40="","",Berechnung2!J40)</f>
        <v>-----</v>
      </c>
      <c r="K84" s="36" t="str">
        <f>IF(Berechnung2!K40="","",Berechnung2!K40)</f>
        <v>-----</v>
      </c>
      <c r="M84" s="36" t="str">
        <f>IF(Berechnung2!L40="","",Berechnung2!L40)</f>
        <v>Werte in Spalte V, W, X, Y dürfen den Wert Spalte U nicht übersteigen</v>
      </c>
      <c r="N84" s="37"/>
      <c r="O84" s="36"/>
      <c r="P84" s="36"/>
      <c r="Q84" s="36"/>
      <c r="R84" s="36"/>
      <c r="S84" s="36"/>
      <c r="T84" s="36"/>
      <c r="AE84" s="1"/>
    </row>
    <row r="85" spans="1:31" ht="14.25" hidden="1" customHeight="1" x14ac:dyDescent="0.2">
      <c r="A85" s="36" t="str">
        <f>IF(Berechnung2!B41="","",Berechnung2!B41)</f>
        <v>Fehler bei Ereignisse - verstorben</v>
      </c>
      <c r="B85" s="36" t="str">
        <f>IF(Berechnung2!C41="","",Berechnung2!C41)</f>
        <v/>
      </c>
      <c r="C85" s="36" t="str">
        <f>IF(Berechnung2!D41="","",Berechnung2!D41)</f>
        <v>inkorrekt</v>
      </c>
      <c r="E85" s="36" t="str">
        <f>IF(Berechnung2!E41="","",Berechnung2!E41)</f>
        <v>-----</v>
      </c>
      <c r="F85" s="36" t="str">
        <f>IF(Berechnung2!F41="","",Berechnung2!F41)</f>
        <v>-----</v>
      </c>
      <c r="G85" s="36" t="str">
        <f>IF(Berechnung2!G41="","",Berechnung2!G41)</f>
        <v>-----</v>
      </c>
      <c r="H85" s="36" t="str">
        <f>IF(Berechnung2!H41="","",Berechnung2!H41)</f>
        <v>-----</v>
      </c>
      <c r="I85" s="36" t="str">
        <f>IF(Berechnung2!I41="","",Berechnung2!I41)</f>
        <v>-----</v>
      </c>
      <c r="J85" s="36" t="str">
        <f>IF(Berechnung2!J41="","",Berechnung2!J41)</f>
        <v>-----</v>
      </c>
      <c r="K85" s="36" t="str">
        <f>IF(Berechnung2!K41="","",Berechnung2!K41)</f>
        <v>-----</v>
      </c>
      <c r="M85" s="36" t="str">
        <f>IF(Berechnung2!L41="","",Berechnung2!L41)</f>
        <v>Werte in Spalte AA, AB, AC, AD dürfen den Wert Spalte Z nicht übersteigen</v>
      </c>
      <c r="N85" s="37"/>
      <c r="O85" s="36"/>
      <c r="P85" s="36"/>
      <c r="Q85" s="36"/>
      <c r="R85" s="36"/>
      <c r="S85" s="36"/>
      <c r="T85" s="36"/>
      <c r="AE85" s="1"/>
    </row>
    <row r="86" spans="1:31" ht="14.25" hidden="1" customHeight="1" x14ac:dyDescent="0.2">
      <c r="A86" s="36" t="str">
        <f>IF(Berechnung2!B42="","",Berechnung2!B42)</f>
        <v>geringe Follow-Up Quote der Jahre 2020-2022</v>
      </c>
      <c r="B86" s="36" t="str">
        <f>IF(Berechnung2!C42="","",Berechnung2!C42)</f>
        <v/>
      </c>
      <c r="C86" s="36" t="str">
        <f>IF(Berechnung2!D42="","",Berechnung2!D42)</f>
        <v>sollvorgabe</v>
      </c>
      <c r="E86" s="36" t="str">
        <f>IF(Berechnung2!E42="","",Berechnung2!E42)</f>
        <v>&lt;</v>
      </c>
      <c r="F86" s="200">
        <f>IF(Berechnung2!F42="","",Berechnung2!F42)</f>
        <v>0</v>
      </c>
      <c r="G86" s="200">
        <f>IF(Berechnung2!G42="","",Berechnung2!G42)</f>
        <v>0</v>
      </c>
      <c r="H86" s="200" t="str">
        <f>IF(Berechnung2!H42="","",Berechnung2!H42)</f>
        <v/>
      </c>
      <c r="I86" s="200">
        <f>IF(Berechnung2!I42="","",Berechnung2!I42)</f>
        <v>0.69999</v>
      </c>
      <c r="J86" s="200">
        <f>IF(Berechnung2!J42="","",Berechnung2!J42)</f>
        <v>0.69999</v>
      </c>
      <c r="K86" s="36" t="str">
        <f>IF(Berechnung2!K42="","",Berechnung2!K42)</f>
        <v/>
      </c>
      <c r="M86" s="36" t="str">
        <f>IF(Berechnung2!L42="","",Berechnung2!L42)</f>
        <v>durchschnittliche Follow-Up Quote &lt; 70%</v>
      </c>
      <c r="N86" s="37"/>
      <c r="O86" s="36"/>
      <c r="P86" s="36"/>
      <c r="Q86" s="36"/>
      <c r="R86" s="36"/>
      <c r="S86" s="36"/>
      <c r="T86" s="36"/>
      <c r="AE86" s="1"/>
    </row>
    <row r="87" spans="1:31" ht="14.25" hidden="1" customHeight="1" x14ac:dyDescent="0.2">
      <c r="A87" s="36" t="str">
        <f>IF(Berechnung2!B43="","",Berechnung2!B43)</f>
        <v>zu geringe Anzahl der Primärfälle</v>
      </c>
      <c r="B87" s="36" t="str">
        <f>IF(Berechnung2!C43="","",Berechnung2!C43)</f>
        <v/>
      </c>
      <c r="C87" s="36" t="str">
        <f>IF(Berechnung2!D43="","",Berechnung2!D43)</f>
        <v>plausi</v>
      </c>
      <c r="E87" s="36" t="str">
        <f>IF(Berechnung2!E43="","",Berechnung2!E43)</f>
        <v>&lt;</v>
      </c>
      <c r="F87" s="200" t="str">
        <f>IF(Berechnung2!F43="","",Berechnung2!F43)</f>
        <v/>
      </c>
      <c r="G87" s="36">
        <f>IF(Berechnung2!G43="","",Berechnung2!G43)</f>
        <v>50</v>
      </c>
      <c r="H87" s="200" t="str">
        <f>IF(Berechnung2!H43="","",Berechnung2!H43)</f>
        <v/>
      </c>
      <c r="I87" s="200" t="str">
        <f>IF(Berechnung2!I43="","",Berechnung2!I43)</f>
        <v/>
      </c>
      <c r="J87" s="200" t="str">
        <f>IF(Berechnung2!J43="","",Berechnung2!J43)</f>
        <v/>
      </c>
      <c r="K87" s="36" t="str">
        <f>IF(Berechnung2!K43="","",Berechnung2!K43)</f>
        <v/>
      </c>
      <c r="M87" s="36" t="str">
        <f>IF(Berechnung2!L43="","",Berechnung2!L43)</f>
        <v>zu wenig Primärfälle angegeben</v>
      </c>
      <c r="N87" s="37"/>
      <c r="O87" s="36"/>
      <c r="P87" s="36"/>
      <c r="Q87" s="36"/>
      <c r="R87" s="36"/>
      <c r="S87" s="36"/>
      <c r="T87" s="36"/>
      <c r="AE87" s="1"/>
    </row>
    <row r="88" spans="1:31" ht="14.25" hidden="1" customHeight="1" x14ac:dyDescent="0.2">
      <c r="A88" s="36" t="str">
        <f>IF(Berechnung2!B44="","",Berechnung2!B44)</f>
        <v>zu hohe Follow-Up Quote der Jahre 2020-2022</v>
      </c>
      <c r="B88" s="36" t="str">
        <f>IF(Berechnung2!C44="","",Berechnung2!C44)</f>
        <v/>
      </c>
      <c r="C88" s="36" t="str">
        <f>IF(Berechnung2!D44="","",Berechnung2!D44)</f>
        <v>plausi</v>
      </c>
      <c r="E88" s="36" t="str">
        <f>IF(Berechnung2!E44="","",Berechnung2!E44)</f>
        <v>&gt;</v>
      </c>
      <c r="F88" s="200" t="str">
        <f>IF(Berechnung2!F44="","",Berechnung2!F44)</f>
        <v/>
      </c>
      <c r="G88" s="200">
        <f>IF(Berechnung2!G44="","",Berechnung2!G44)</f>
        <v>0</v>
      </c>
      <c r="H88" s="36">
        <f>IF(Berechnung2!H44="","",Berechnung2!H44)</f>
        <v>0.95001000000000002</v>
      </c>
      <c r="I88" s="200">
        <f>IF(Berechnung2!I44="","",Berechnung2!I44)</f>
        <v>1</v>
      </c>
      <c r="J88" s="200">
        <f>IF(Berechnung2!J44="","",Berechnung2!J44)</f>
        <v>0.95001000000000002</v>
      </c>
      <c r="K88" s="36" t="str">
        <f>IF(Berechnung2!K44="","",Berechnung2!K44)</f>
        <v/>
      </c>
      <c r="M88" s="36" t="str">
        <f>IF(Berechnung2!L44="","",Berechnung2!L44)</f>
        <v>durchschnittliche Follow-Up Quote &gt; 95%</v>
      </c>
      <c r="N88" s="37"/>
      <c r="O88" s="36"/>
      <c r="P88" s="36"/>
      <c r="Q88" s="36"/>
      <c r="R88" s="36"/>
      <c r="S88" s="36"/>
      <c r="T88" s="36"/>
      <c r="AE88" s="1"/>
    </row>
    <row r="89" spans="1:31" ht="14.25" hidden="1" customHeight="1" x14ac:dyDescent="0.2">
      <c r="A89" s="36" t="str">
        <f>IF(Berechnung2!B45="","",Berechnung2!B45)</f>
        <v>geringe Follow-Up Quote Nachsorgejahre</v>
      </c>
      <c r="B89" s="36" t="str">
        <f>IF(Berechnung2!C45="","",Berechnung2!C45)</f>
        <v/>
      </c>
      <c r="C89" s="36" t="str">
        <f>IF(Berechnung2!D45="","",Berechnung2!D45)</f>
        <v>plausi</v>
      </c>
      <c r="E89" s="36" t="str">
        <f>IF(Berechnung2!E45="","",Berechnung2!E45)</f>
        <v>&lt;</v>
      </c>
      <c r="F89" s="200">
        <f>IF(Berechnung2!F45="","",Berechnung2!F45)</f>
        <v>0</v>
      </c>
      <c r="G89" s="200">
        <f>IF(Berechnung2!G45="","",Berechnung2!G45)</f>
        <v>0</v>
      </c>
      <c r="H89" s="36" t="str">
        <f>IF(Berechnung2!H45="","",Berechnung2!H45)</f>
        <v/>
      </c>
      <c r="I89" s="200">
        <f>IF(Berechnung2!I45="","",Berechnung2!I45)</f>
        <v>0.59999000000000002</v>
      </c>
      <c r="J89" s="200">
        <f>IF(Berechnung2!J45="","",Berechnung2!J45)</f>
        <v>0.59999000000000002</v>
      </c>
      <c r="K89" s="36" t="str">
        <f>IF(Berechnung2!K45="","",Berechnung2!K45)</f>
        <v/>
      </c>
      <c r="M89" s="36" t="str">
        <f>IF(Berechnung2!L45="","",Berechnung2!L45)</f>
        <v>geringe Follow-Up Quote der Nachsorgejahre</v>
      </c>
      <c r="N89" s="37"/>
      <c r="O89" s="36"/>
      <c r="P89" s="36"/>
      <c r="Q89" s="36"/>
      <c r="R89" s="36"/>
      <c r="S89" s="36"/>
      <c r="T89" s="36"/>
      <c r="AE89" s="1"/>
    </row>
    <row r="90" spans="1:31" ht="14.25" customHeight="1" x14ac:dyDescent="0.2">
      <c r="A90" s="36"/>
      <c r="C90" s="36"/>
      <c r="D90" s="36"/>
      <c r="E90" s="36"/>
      <c r="F90" s="36"/>
      <c r="G90" s="36"/>
      <c r="H90" s="36"/>
      <c r="I90" s="36"/>
      <c r="J90" s="36"/>
      <c r="K90" s="36"/>
      <c r="L90" s="36"/>
      <c r="M90" s="36"/>
      <c r="N90" s="36"/>
      <c r="O90" s="36"/>
      <c r="P90" s="36"/>
      <c r="Q90" s="36"/>
      <c r="R90" s="36"/>
      <c r="S90" s="36"/>
      <c r="T90" s="36"/>
      <c r="AE90" s="1"/>
    </row>
    <row r="91" spans="1:31" ht="14.25" customHeight="1" x14ac:dyDescent="0.2">
      <c r="A91" s="36"/>
      <c r="C91" s="36"/>
      <c r="D91" s="36"/>
      <c r="E91" s="36"/>
      <c r="F91" s="36"/>
      <c r="G91" s="36"/>
      <c r="H91" s="36"/>
      <c r="I91" s="36"/>
      <c r="J91" s="36"/>
      <c r="K91" s="36"/>
      <c r="L91" s="36"/>
      <c r="M91" s="36"/>
      <c r="N91" s="36"/>
      <c r="O91" s="36"/>
      <c r="P91" s="36"/>
      <c r="Q91" s="36"/>
      <c r="R91" s="36"/>
      <c r="S91" s="36"/>
      <c r="T91" s="36"/>
      <c r="AE91" s="1"/>
    </row>
    <row r="92" spans="1:31" ht="14.25" customHeight="1" x14ac:dyDescent="0.2">
      <c r="A92" s="36"/>
      <c r="C92" s="36"/>
      <c r="D92" s="36"/>
      <c r="E92" s="36"/>
      <c r="F92" s="36"/>
      <c r="G92" s="36"/>
      <c r="H92" s="36"/>
      <c r="I92" s="36"/>
      <c r="J92" s="36"/>
      <c r="K92" s="36"/>
      <c r="L92" s="36"/>
      <c r="M92" s="36"/>
      <c r="N92" s="36"/>
      <c r="O92" s="36"/>
      <c r="P92" s="36"/>
      <c r="Q92" s="36"/>
      <c r="R92" s="36"/>
      <c r="S92" s="36"/>
      <c r="T92" s="36"/>
      <c r="AE92" s="1"/>
    </row>
    <row r="93" spans="1:31" ht="14.25" customHeight="1" x14ac:dyDescent="0.2">
      <c r="A93" s="36"/>
      <c r="C93" s="36"/>
      <c r="D93" s="36"/>
      <c r="E93" s="36"/>
      <c r="F93" s="36"/>
      <c r="G93" s="36"/>
      <c r="H93" s="36"/>
      <c r="I93" s="36"/>
      <c r="J93" s="36"/>
      <c r="K93" s="36"/>
      <c r="L93" s="36"/>
      <c r="M93" s="36"/>
      <c r="N93" s="36"/>
      <c r="O93" s="36"/>
      <c r="P93" s="36"/>
      <c r="Q93" s="36"/>
      <c r="R93" s="36"/>
      <c r="S93" s="36"/>
      <c r="T93" s="36"/>
      <c r="AE93" s="1"/>
    </row>
    <row r="94" spans="1:31" ht="14.25" customHeight="1" x14ac:dyDescent="0.2">
      <c r="A94" s="36"/>
      <c r="C94" s="36"/>
      <c r="D94" s="36"/>
      <c r="E94" s="36"/>
      <c r="F94" s="36"/>
      <c r="G94" s="36"/>
      <c r="H94" s="36"/>
      <c r="I94" s="36"/>
      <c r="J94" s="36"/>
      <c r="K94" s="36"/>
      <c r="L94" s="36"/>
      <c r="M94" s="36"/>
      <c r="N94" s="36"/>
      <c r="O94" s="36"/>
      <c r="P94" s="36"/>
      <c r="Q94" s="36"/>
      <c r="R94" s="36"/>
      <c r="S94" s="36"/>
      <c r="T94" s="36"/>
      <c r="AE94" s="1"/>
    </row>
    <row r="95" spans="1:31" ht="14.25" customHeight="1" x14ac:dyDescent="0.2">
      <c r="A95" s="36"/>
      <c r="C95" s="36"/>
      <c r="D95" s="36"/>
      <c r="E95" s="36"/>
      <c r="F95" s="36"/>
      <c r="G95" s="36"/>
      <c r="H95" s="36"/>
      <c r="I95" s="36"/>
      <c r="J95" s="36"/>
      <c r="K95" s="36"/>
      <c r="L95" s="36"/>
      <c r="M95" s="36"/>
      <c r="N95" s="36"/>
      <c r="O95" s="36"/>
      <c r="P95" s="36"/>
      <c r="Q95" s="36"/>
      <c r="R95" s="36"/>
      <c r="S95" s="36"/>
      <c r="T95" s="36"/>
      <c r="AE95" s="1"/>
    </row>
    <row r="96" spans="1:31" ht="14.25" customHeight="1" x14ac:dyDescent="0.2">
      <c r="A96" s="36"/>
      <c r="C96" s="36"/>
      <c r="D96" s="36"/>
      <c r="E96" s="36"/>
      <c r="F96" s="36"/>
      <c r="G96" s="36"/>
      <c r="H96" s="36"/>
      <c r="I96" s="36"/>
      <c r="J96" s="36"/>
      <c r="K96" s="36"/>
      <c r="L96" s="36"/>
      <c r="M96" s="36"/>
      <c r="N96" s="36"/>
      <c r="O96" s="36"/>
      <c r="P96" s="36"/>
      <c r="Q96" s="36"/>
      <c r="R96" s="36"/>
      <c r="S96" s="36"/>
      <c r="T96" s="36"/>
      <c r="AE96" s="1"/>
    </row>
    <row r="97" spans="1:31" ht="14.25" customHeight="1" x14ac:dyDescent="0.2">
      <c r="A97" s="36"/>
      <c r="C97" s="36"/>
      <c r="D97" s="36"/>
      <c r="E97" s="36"/>
      <c r="F97" s="36"/>
      <c r="G97" s="36"/>
      <c r="H97" s="36"/>
      <c r="I97" s="36"/>
      <c r="J97" s="36"/>
      <c r="K97" s="36"/>
      <c r="L97" s="36"/>
      <c r="M97" s="36"/>
      <c r="N97" s="36"/>
      <c r="O97" s="36"/>
      <c r="P97" s="36"/>
      <c r="Q97" s="36"/>
      <c r="R97" s="36"/>
      <c r="S97" s="36"/>
      <c r="T97" s="36"/>
      <c r="AE97" s="1"/>
    </row>
    <row r="98" spans="1:31" ht="14.25" customHeight="1" x14ac:dyDescent="0.2">
      <c r="A98" s="36"/>
      <c r="C98" s="36"/>
      <c r="D98" s="36"/>
      <c r="E98" s="36"/>
      <c r="F98" s="36"/>
      <c r="G98" s="36"/>
      <c r="H98" s="36"/>
      <c r="I98" s="36"/>
      <c r="J98" s="36"/>
      <c r="K98" s="36"/>
      <c r="L98" s="36"/>
      <c r="M98" s="36"/>
      <c r="N98" s="36"/>
      <c r="O98" s="36"/>
      <c r="P98" s="36"/>
      <c r="Q98" s="36"/>
      <c r="R98" s="36"/>
      <c r="S98" s="36"/>
      <c r="T98" s="36"/>
      <c r="AE98" s="1"/>
    </row>
    <row r="99" spans="1:31" ht="14.25" customHeight="1" x14ac:dyDescent="0.2">
      <c r="A99" s="36"/>
      <c r="C99" s="36"/>
      <c r="D99" s="36"/>
      <c r="E99" s="36"/>
      <c r="F99" s="36"/>
      <c r="G99" s="36"/>
      <c r="H99" s="36"/>
      <c r="I99" s="36"/>
      <c r="J99" s="36"/>
      <c r="K99" s="36"/>
      <c r="L99" s="36"/>
      <c r="M99" s="36"/>
      <c r="N99" s="36"/>
      <c r="O99" s="36"/>
      <c r="P99" s="36"/>
      <c r="Q99" s="36"/>
      <c r="R99" s="36"/>
      <c r="S99" s="36"/>
      <c r="T99" s="36"/>
      <c r="AE99" s="1"/>
    </row>
    <row r="100" spans="1:31" ht="14.25" customHeight="1" x14ac:dyDescent="0.2">
      <c r="A100" s="36"/>
      <c r="C100" s="36"/>
      <c r="D100" s="36"/>
      <c r="E100" s="36"/>
      <c r="F100" s="36"/>
      <c r="G100" s="36"/>
      <c r="H100" s="36"/>
      <c r="I100" s="36"/>
      <c r="J100" s="36"/>
      <c r="K100" s="36"/>
      <c r="L100" s="36"/>
      <c r="M100" s="36"/>
      <c r="N100" s="36"/>
      <c r="O100" s="36"/>
      <c r="P100" s="36"/>
      <c r="Q100" s="36"/>
      <c r="R100" s="36"/>
      <c r="S100" s="36"/>
      <c r="T100" s="36"/>
      <c r="AE100" s="1"/>
    </row>
  </sheetData>
  <sheetProtection algorithmName="SHA-512" hashValue="06MJzzV2BeOe9aEuLXv6Sz7omlP38MC6SxYA9GRID6+E/3FSq6sYSF1do0W9KHmJR2vqb+qkV+ubFyNcXSKitw==" saltValue="W1U1JammhV1RghwgtMYeNA==" spinCount="100000" sheet="1" objects="1" scenarios="1" selectLockedCells="1"/>
  <dataConsolidate link="1"/>
  <mergeCells count="111">
    <mergeCell ref="Z10:AE10"/>
    <mergeCell ref="C15:C17"/>
    <mergeCell ref="M10:R10"/>
    <mergeCell ref="G11:L11"/>
    <mergeCell ref="T15:T17"/>
    <mergeCell ref="B15:B17"/>
    <mergeCell ref="N15:N17"/>
    <mergeCell ref="M15:M17"/>
    <mergeCell ref="K15:K17"/>
    <mergeCell ref="I15:I17"/>
    <mergeCell ref="J15:J17"/>
    <mergeCell ref="M13:AE13"/>
    <mergeCell ref="L13:L29"/>
    <mergeCell ref="B13:K13"/>
    <mergeCell ref="S14:S29"/>
    <mergeCell ref="Z11:AE11"/>
    <mergeCell ref="E15:E17"/>
    <mergeCell ref="F15:F17"/>
    <mergeCell ref="U15:Y15"/>
    <mergeCell ref="V17:Y17"/>
    <mergeCell ref="Z15:AD15"/>
    <mergeCell ref="AA17:AD17"/>
    <mergeCell ref="U16:U17"/>
    <mergeCell ref="Z16:Z17"/>
    <mergeCell ref="M11:R11"/>
    <mergeCell ref="O15:O17"/>
    <mergeCell ref="R15:R17"/>
    <mergeCell ref="D15:D17"/>
    <mergeCell ref="C5:R5"/>
    <mergeCell ref="C7:E7"/>
    <mergeCell ref="O7:R7"/>
    <mergeCell ref="P15:P17"/>
    <mergeCell ref="Q15:Q17"/>
    <mergeCell ref="A10:F10"/>
    <mergeCell ref="A11:F11"/>
    <mergeCell ref="S11:Y11"/>
    <mergeCell ref="G10:L10"/>
    <mergeCell ref="S10:Y10"/>
    <mergeCell ref="C61:F61"/>
    <mergeCell ref="C64:F64"/>
    <mergeCell ref="C65:F65"/>
    <mergeCell ref="G15:G17"/>
    <mergeCell ref="J57:AE57"/>
    <mergeCell ref="A32:AE32"/>
    <mergeCell ref="A33:AE33"/>
    <mergeCell ref="A34:AE34"/>
    <mergeCell ref="A35:AE35"/>
    <mergeCell ref="A39:AE39"/>
    <mergeCell ref="A41:AE41"/>
    <mergeCell ref="A36:AE36"/>
    <mergeCell ref="J60:AE60"/>
    <mergeCell ref="J61:AE61"/>
    <mergeCell ref="J64:AE64"/>
    <mergeCell ref="A15:A17"/>
    <mergeCell ref="H15:H17"/>
    <mergeCell ref="J63:AE63"/>
    <mergeCell ref="C60:F60"/>
    <mergeCell ref="M28:R28"/>
    <mergeCell ref="T28:AE28"/>
    <mergeCell ref="J62:AE62"/>
    <mergeCell ref="T29:AE29"/>
    <mergeCell ref="M29:R29"/>
    <mergeCell ref="A67:B67"/>
    <mergeCell ref="G66:I66"/>
    <mergeCell ref="A63:B63"/>
    <mergeCell ref="A69:B69"/>
    <mergeCell ref="G60:I60"/>
    <mergeCell ref="C62:F62"/>
    <mergeCell ref="A61:B61"/>
    <mergeCell ref="A40:AE40"/>
    <mergeCell ref="C66:F66"/>
    <mergeCell ref="A66:B66"/>
    <mergeCell ref="G62:I62"/>
    <mergeCell ref="G63:I63"/>
    <mergeCell ref="G64:I64"/>
    <mergeCell ref="C63:F63"/>
    <mergeCell ref="A42:AD42"/>
    <mergeCell ref="G70:I70"/>
    <mergeCell ref="C69:F69"/>
    <mergeCell ref="C70:F70"/>
    <mergeCell ref="G68:I68"/>
    <mergeCell ref="G69:I69"/>
    <mergeCell ref="A62:B62"/>
    <mergeCell ref="A64:B64"/>
    <mergeCell ref="G67:I67"/>
    <mergeCell ref="C67:F67"/>
    <mergeCell ref="G65:I65"/>
    <mergeCell ref="J70:AE70"/>
    <mergeCell ref="J68:AE68"/>
    <mergeCell ref="J67:AE67"/>
    <mergeCell ref="J66:AE66"/>
    <mergeCell ref="J65:AE65"/>
    <mergeCell ref="AE15:AE17"/>
    <mergeCell ref="A37:AE37"/>
    <mergeCell ref="C57:F57"/>
    <mergeCell ref="A68:B68"/>
    <mergeCell ref="C68:F68"/>
    <mergeCell ref="A65:B65"/>
    <mergeCell ref="G61:I61"/>
    <mergeCell ref="A38:AE38"/>
    <mergeCell ref="C59:F59"/>
    <mergeCell ref="A59:B59"/>
    <mergeCell ref="A60:B60"/>
    <mergeCell ref="G57:I57"/>
    <mergeCell ref="G59:I59"/>
    <mergeCell ref="G58:I58"/>
    <mergeCell ref="C58:F58"/>
    <mergeCell ref="A57:B57"/>
    <mergeCell ref="A58:B58"/>
    <mergeCell ref="J58:AE58"/>
    <mergeCell ref="A70:B70"/>
  </mergeCells>
  <phoneticPr fontId="34" type="noConversion"/>
  <conditionalFormatting sqref="A10">
    <cfRule type="expression" dxfId="92" priority="4206" stopIfTrue="1">
      <formula>$A$10="Nicht in Ordnung"</formula>
    </cfRule>
  </conditionalFormatting>
  <conditionalFormatting sqref="A11">
    <cfRule type="expression" dxfId="91" priority="4204" stopIfTrue="1">
      <formula>$A$11="die inkorrekten und unvollständigen Einträge beheben"</formula>
    </cfRule>
  </conditionalFormatting>
  <conditionalFormatting sqref="C18:C29">
    <cfRule type="expression" dxfId="90" priority="4307" stopIfTrue="1">
      <formula>OR($A18="nicht relevant",$A18="EZ")</formula>
    </cfRule>
    <cfRule type="cellIs" dxfId="89" priority="4308" stopIfTrue="1" operator="lessThan">
      <formula>$G$87</formula>
    </cfRule>
  </conditionalFormatting>
  <conditionalFormatting sqref="D18:D19">
    <cfRule type="expression" dxfId="88" priority="623" stopIfTrue="1">
      <formula>OR(A18="nicht relevant",A18="EZ")</formula>
    </cfRule>
    <cfRule type="expression" dxfId="87" priority="624" stopIfTrue="1">
      <formula>LEN(TRIM(D18))=0</formula>
    </cfRule>
  </conditionalFormatting>
  <conditionalFormatting sqref="D20">
    <cfRule type="expression" dxfId="86" priority="646" stopIfTrue="1">
      <formula>LEN(TRIM($D20))=0</formula>
    </cfRule>
  </conditionalFormatting>
  <conditionalFormatting sqref="D21:D28">
    <cfRule type="expression" dxfId="85" priority="588" stopIfTrue="1">
      <formula>LEN(TRIM($D21))=0</formula>
    </cfRule>
  </conditionalFormatting>
  <conditionalFormatting sqref="D21:G28">
    <cfRule type="expression" dxfId="84" priority="539" stopIfTrue="1">
      <formula>OR($A21="nicht relevant",$A21="EZ")</formula>
    </cfRule>
  </conditionalFormatting>
  <conditionalFormatting sqref="D20:K20">
    <cfRule type="expression" dxfId="83" priority="625" stopIfTrue="1">
      <formula>OR($A20="nicht relevant",$A20="EZ")</formula>
    </cfRule>
  </conditionalFormatting>
  <conditionalFormatting sqref="D29:K29">
    <cfRule type="expression" dxfId="82" priority="9" stopIfTrue="1">
      <formula>OR($A$29="nicht relevant",$A$29="EZ")</formula>
    </cfRule>
  </conditionalFormatting>
  <conditionalFormatting sqref="E18:E19">
    <cfRule type="expression" dxfId="81" priority="4261" stopIfTrue="1">
      <formula>LEN(TRIM(E18))=0</formula>
    </cfRule>
    <cfRule type="expression" dxfId="80" priority="4260" stopIfTrue="1">
      <formula>OR(A18="nicht relevant",A18="EZ")</formula>
    </cfRule>
  </conditionalFormatting>
  <conditionalFormatting sqref="E20">
    <cfRule type="expression" dxfId="79" priority="636" stopIfTrue="1">
      <formula>LEN(TRIM($E20))=0</formula>
    </cfRule>
  </conditionalFormatting>
  <conditionalFormatting sqref="E21:E28">
    <cfRule type="expression" dxfId="78" priority="572" stopIfTrue="1">
      <formula>LEN(TRIM($E21))=0</formula>
    </cfRule>
  </conditionalFormatting>
  <conditionalFormatting sqref="F18:F19">
    <cfRule type="expression" dxfId="77" priority="4263" stopIfTrue="1">
      <formula>LEN(TRIM(F18))=0</formula>
    </cfRule>
    <cfRule type="expression" dxfId="76" priority="4262" stopIfTrue="1">
      <formula>OR(A18="nicht relevant",A18="EZ")</formula>
    </cfRule>
  </conditionalFormatting>
  <conditionalFormatting sqref="F20">
    <cfRule type="expression" dxfId="75" priority="638" stopIfTrue="1">
      <formula>LEN(TRIM($F20))=0</formula>
    </cfRule>
  </conditionalFormatting>
  <conditionalFormatting sqref="F21:F28">
    <cfRule type="expression" dxfId="74" priority="556" stopIfTrue="1">
      <formula>LEN(TRIM($F21))=0</formula>
    </cfRule>
  </conditionalFormatting>
  <conditionalFormatting sqref="G18:G19">
    <cfRule type="expression" dxfId="73" priority="4265" stopIfTrue="1">
      <formula>LEN(TRIM(G18))=0</formula>
    </cfRule>
    <cfRule type="expression" dxfId="72" priority="4264" stopIfTrue="1">
      <formula>OR(A18="nicht relevant",A18="EZ")</formula>
    </cfRule>
  </conditionalFormatting>
  <conditionalFormatting sqref="G20">
    <cfRule type="expression" dxfId="71" priority="634" stopIfTrue="1">
      <formula>LEN(TRIM($G20))=0</formula>
    </cfRule>
  </conditionalFormatting>
  <conditionalFormatting sqref="G21:G28">
    <cfRule type="expression" dxfId="70" priority="540" stopIfTrue="1">
      <formula>LEN(TRIM($G21))=0</formula>
    </cfRule>
  </conditionalFormatting>
  <conditionalFormatting sqref="H18:H19">
    <cfRule type="expression" dxfId="69" priority="4266" stopIfTrue="1">
      <formula>OR(A18="nicht relevant",A18="EZ")</formula>
    </cfRule>
    <cfRule type="expression" dxfId="68" priority="4267" stopIfTrue="1">
      <formula>LEN(TRIM(H18))=0</formula>
    </cfRule>
  </conditionalFormatting>
  <conditionalFormatting sqref="H20">
    <cfRule type="expression" dxfId="67" priority="632" stopIfTrue="1">
      <formula>LEN(TRIM($H20))=0</formula>
    </cfRule>
  </conditionalFormatting>
  <conditionalFormatting sqref="H21:H23">
    <cfRule type="expression" dxfId="66" priority="534" stopIfTrue="1">
      <formula>LEN(TRIM($H21))=0</formula>
    </cfRule>
    <cfRule type="expression" dxfId="65" priority="533" stopIfTrue="1">
      <formula>OR($A21="nicht relevant",$A21="EZ")</formula>
    </cfRule>
  </conditionalFormatting>
  <conditionalFormatting sqref="H24">
    <cfRule type="expression" dxfId="64" priority="531" stopIfTrue="1">
      <formula>OR($A24="nicht relevant",$A24="EZ")</formula>
    </cfRule>
    <cfRule type="expression" dxfId="63" priority="532" stopIfTrue="1">
      <formula>LEN(TRIM($H24))=0</formula>
    </cfRule>
  </conditionalFormatting>
  <conditionalFormatting sqref="H25:H28">
    <cfRule type="expression" dxfId="62" priority="523" stopIfTrue="1">
      <formula>OR($A25="nicht relevant",$A25="EZ")</formula>
    </cfRule>
    <cfRule type="expression" dxfId="61" priority="524" stopIfTrue="1">
      <formula>LEN(TRIM($H25))=0</formula>
    </cfRule>
  </conditionalFormatting>
  <conditionalFormatting sqref="I18:I19">
    <cfRule type="expression" dxfId="60" priority="4268" stopIfTrue="1">
      <formula>OR(A18="nicht relevant",A18="EZ")</formula>
    </cfRule>
    <cfRule type="expression" dxfId="59" priority="4269" stopIfTrue="1">
      <formula>LEN(TRIM(I18))=0</formula>
    </cfRule>
  </conditionalFormatting>
  <conditionalFormatting sqref="I20">
    <cfRule type="expression" dxfId="58" priority="630" stopIfTrue="1">
      <formula>LEN(TRIM($I20))=0</formula>
    </cfRule>
  </conditionalFormatting>
  <conditionalFormatting sqref="I21:I22">
    <cfRule type="expression" dxfId="57" priority="520" stopIfTrue="1">
      <formula>LEN(TRIM($I21))=0</formula>
    </cfRule>
  </conditionalFormatting>
  <conditionalFormatting sqref="I22">
    <cfRule type="expression" dxfId="56" priority="519" stopIfTrue="1">
      <formula>OR($A22="nicht relevant",$A22="EZ")</formula>
    </cfRule>
  </conditionalFormatting>
  <conditionalFormatting sqref="I23:I28">
    <cfRule type="expression" dxfId="55" priority="507" stopIfTrue="1">
      <formula>OR($A23="nicht relevant",$A23="EZ")</formula>
    </cfRule>
    <cfRule type="expression" dxfId="54" priority="508" stopIfTrue="1">
      <formula>LEN(TRIM($I23))=0</formula>
    </cfRule>
  </conditionalFormatting>
  <conditionalFormatting sqref="I21:K21">
    <cfRule type="expression" dxfId="53" priority="489" stopIfTrue="1">
      <formula>OR($A21="nicht relevant",$A21="EZ")</formula>
    </cfRule>
  </conditionalFormatting>
  <conditionalFormatting sqref="J18:J19">
    <cfRule type="expression" dxfId="52" priority="4270" stopIfTrue="1">
      <formula>OR(A18="nicht relevant",A18="EZ")</formula>
    </cfRule>
    <cfRule type="expression" dxfId="51" priority="4271" stopIfTrue="1">
      <formula>LEN(TRIM(J18))=0</formula>
    </cfRule>
  </conditionalFormatting>
  <conditionalFormatting sqref="J20">
    <cfRule type="expression" dxfId="50" priority="628" stopIfTrue="1">
      <formula>LEN(TRIM($J20))=0</formula>
    </cfRule>
  </conditionalFormatting>
  <conditionalFormatting sqref="J21:J28">
    <cfRule type="expression" dxfId="49" priority="492" stopIfTrue="1">
      <formula>LEN(TRIM($J21))=0</formula>
    </cfRule>
  </conditionalFormatting>
  <conditionalFormatting sqref="J22:K28">
    <cfRule type="expression" dxfId="48" priority="475" stopIfTrue="1">
      <formula>OR($A22="nicht relevant",$A22="EZ")</formula>
    </cfRule>
  </conditionalFormatting>
  <conditionalFormatting sqref="K18:K19">
    <cfRule type="expression" dxfId="47" priority="4272" stopIfTrue="1">
      <formula>OR(A18="nicht relevant",A18="EZ")</formula>
    </cfRule>
    <cfRule type="expression" dxfId="46" priority="4273" stopIfTrue="1">
      <formula>LEN(TRIM(K18))=0</formula>
    </cfRule>
  </conditionalFormatting>
  <conditionalFormatting sqref="K20">
    <cfRule type="expression" dxfId="45" priority="626" stopIfTrue="1">
      <formula>LEN(TRIM($K20))=0</formula>
    </cfRule>
  </conditionalFormatting>
  <conditionalFormatting sqref="K21">
    <cfRule type="expression" dxfId="44" priority="490" stopIfTrue="1">
      <formula>LEN(TRIM($K21))=0</formula>
    </cfRule>
  </conditionalFormatting>
  <conditionalFormatting sqref="K22:K28">
    <cfRule type="expression" dxfId="43" priority="476" stopIfTrue="1">
      <formula>LEN(TRIM($K22))=0</formula>
    </cfRule>
  </conditionalFormatting>
  <conditionalFormatting sqref="M18:M27">
    <cfRule type="expression" dxfId="42" priority="14" stopIfTrue="1">
      <formula>LEN(TRIM($M18))=0</formula>
    </cfRule>
    <cfRule type="cellIs" dxfId="41" priority="15" stopIfTrue="1" operator="greaterThan">
      <formula>$C18</formula>
    </cfRule>
  </conditionalFormatting>
  <conditionalFormatting sqref="M18:R27">
    <cfRule type="expression" dxfId="40" priority="13" stopIfTrue="1">
      <formula>OR($A18="nicht relevant",$A18="EZ")</formula>
    </cfRule>
  </conditionalFormatting>
  <conditionalFormatting sqref="N18:N27">
    <cfRule type="cellIs" dxfId="39" priority="431" stopIfTrue="1" operator="lessThan">
      <formula>0</formula>
    </cfRule>
  </conditionalFormatting>
  <conditionalFormatting sqref="O18:O27">
    <cfRule type="expression" dxfId="38" priority="413" stopIfTrue="1">
      <formula>LEN(TRIM($O18))=0</formula>
    </cfRule>
  </conditionalFormatting>
  <conditionalFormatting sqref="P18:P27">
    <cfRule type="expression" dxfId="37" priority="395" stopIfTrue="1">
      <formula>LEN(TRIM($P18))=0</formula>
    </cfRule>
  </conditionalFormatting>
  <conditionalFormatting sqref="Q18:Q27">
    <cfRule type="cellIs" dxfId="36" priority="376" stopIfTrue="1" operator="lessThan">
      <formula>0</formula>
    </cfRule>
  </conditionalFormatting>
  <conditionalFormatting sqref="R18:R27">
    <cfRule type="expression" dxfId="35" priority="4303" stopIfTrue="1">
      <formula>LEN(TRIM($R18))=0</formula>
    </cfRule>
  </conditionalFormatting>
  <conditionalFormatting sqref="R25:R27">
    <cfRule type="cellIs" dxfId="34" priority="4304" stopIfTrue="1" operator="between">
      <formula>$G$89</formula>
      <formula>$I$89</formula>
    </cfRule>
  </conditionalFormatting>
  <conditionalFormatting sqref="R31">
    <cfRule type="cellIs" priority="4242" stopIfTrue="1" operator="equal">
      <formula>"---"</formula>
    </cfRule>
    <cfRule type="cellIs" dxfId="33" priority="4245" stopIfTrue="1" operator="between">
      <formula>$G$86</formula>
      <formula>$I$86</formula>
    </cfRule>
    <cfRule type="cellIs" dxfId="32" priority="4246" stopIfTrue="1" operator="between">
      <formula>$H$88</formula>
      <formula>$I$88</formula>
    </cfRule>
  </conditionalFormatting>
  <conditionalFormatting sqref="T18:T27">
    <cfRule type="cellIs" dxfId="31" priority="347" stopIfTrue="1" operator="lessThan">
      <formula>0</formula>
    </cfRule>
    <cfRule type="expression" dxfId="30" priority="346" stopIfTrue="1">
      <formula>OR($A18="nicht relevant",$A18="EZ")</formula>
    </cfRule>
  </conditionalFormatting>
  <conditionalFormatting sqref="U18:U27">
    <cfRule type="expression" dxfId="29" priority="300" stopIfTrue="1">
      <formula>LEN(TRIM($U18))=0</formula>
    </cfRule>
  </conditionalFormatting>
  <conditionalFormatting sqref="U18:AE27">
    <cfRule type="expression" dxfId="28" priority="39" stopIfTrue="1">
      <formula>OR($A18="nicht relevant",$A18="EZ")</formula>
    </cfRule>
  </conditionalFormatting>
  <conditionalFormatting sqref="V18:V27">
    <cfRule type="expression" dxfId="27" priority="273" stopIfTrue="1">
      <formula>LEN(TRIM($V18))=0</formula>
    </cfRule>
  </conditionalFormatting>
  <conditionalFormatting sqref="V20:V27">
    <cfRule type="cellIs" dxfId="26" priority="274" stopIfTrue="1" operator="greaterThan">
      <formula>$U20</formula>
    </cfRule>
  </conditionalFormatting>
  <conditionalFormatting sqref="V18:Y19">
    <cfRule type="cellIs" dxfId="25" priority="4283" stopIfTrue="1" operator="greaterThan">
      <formula>$U18</formula>
    </cfRule>
  </conditionalFormatting>
  <conditionalFormatting sqref="W18:W27">
    <cfRule type="expression" dxfId="24" priority="245" stopIfTrue="1">
      <formula>LEN(TRIM($W18))=0</formula>
    </cfRule>
  </conditionalFormatting>
  <conditionalFormatting sqref="W20:W27">
    <cfRule type="cellIs" dxfId="23" priority="246" stopIfTrue="1" operator="greaterThan">
      <formula>$U20</formula>
    </cfRule>
  </conditionalFormatting>
  <conditionalFormatting sqref="X18:X27">
    <cfRule type="expression" dxfId="22" priority="216" stopIfTrue="1">
      <formula>LEN(TRIM($X18))=0</formula>
    </cfRule>
  </conditionalFormatting>
  <conditionalFormatting sqref="X20:X27">
    <cfRule type="cellIs" dxfId="21" priority="217" stopIfTrue="1" operator="greaterThan">
      <formula>$U20</formula>
    </cfRule>
  </conditionalFormatting>
  <conditionalFormatting sqref="Y18:Y27">
    <cfRule type="expression" dxfId="20" priority="189" stopIfTrue="1">
      <formula>LEN(TRIM($Y18))=0</formula>
    </cfRule>
  </conditionalFormatting>
  <conditionalFormatting sqref="Y20:Y27">
    <cfRule type="cellIs" dxfId="19" priority="190" stopIfTrue="1" operator="greaterThan">
      <formula>$U20</formula>
    </cfRule>
  </conditionalFormatting>
  <conditionalFormatting sqref="Z18:Z27">
    <cfRule type="expression" dxfId="18" priority="170" stopIfTrue="1">
      <formula>LEN(TRIM($Z18))=0</formula>
    </cfRule>
  </conditionalFormatting>
  <conditionalFormatting sqref="AA18:AA27">
    <cfRule type="expression" dxfId="17" priority="143" stopIfTrue="1">
      <formula>LEN(TRIM($AA18))=0</formula>
    </cfRule>
  </conditionalFormatting>
  <conditionalFormatting sqref="AA20:AA27">
    <cfRule type="cellIs" dxfId="16" priority="144" stopIfTrue="1" operator="greaterThan">
      <formula>$Z20</formula>
    </cfRule>
  </conditionalFormatting>
  <conditionalFormatting sqref="AA18:AD19">
    <cfRule type="cellIs" dxfId="15" priority="4293" stopIfTrue="1" operator="greaterThan">
      <formula>$Z18</formula>
    </cfRule>
  </conditionalFormatting>
  <conditionalFormatting sqref="AB18:AB27">
    <cfRule type="expression" dxfId="14" priority="113" stopIfTrue="1">
      <formula>LEN(TRIM($AB18))=0</formula>
    </cfRule>
  </conditionalFormatting>
  <conditionalFormatting sqref="AB20:AB27">
    <cfRule type="cellIs" dxfId="13" priority="114" stopIfTrue="1" operator="greaterThan">
      <formula>$Z20</formula>
    </cfRule>
  </conditionalFormatting>
  <conditionalFormatting sqref="AC18:AC27">
    <cfRule type="expression" dxfId="12" priority="86" stopIfTrue="1">
      <formula>LEN(TRIM($AC18))=0</formula>
    </cfRule>
  </conditionalFormatting>
  <conditionalFormatting sqref="AC20:AC27">
    <cfRule type="cellIs" dxfId="11" priority="87" stopIfTrue="1" operator="greaterThan">
      <formula>$Z20</formula>
    </cfRule>
  </conditionalFormatting>
  <conditionalFormatting sqref="AD18:AD27">
    <cfRule type="expression" dxfId="10" priority="59" stopIfTrue="1">
      <formula>LEN(TRIM($AD18))=0</formula>
    </cfRule>
  </conditionalFormatting>
  <conditionalFormatting sqref="AD20:AD27">
    <cfRule type="cellIs" dxfId="9" priority="60" stopIfTrue="1" operator="greaterThan">
      <formula>$Z20</formula>
    </cfRule>
  </conditionalFormatting>
  <conditionalFormatting sqref="AE18:AE27">
    <cfRule type="expression" dxfId="8" priority="40" stopIfTrue="1">
      <formula>LEN(TRIM($AE18))=0</formula>
    </cfRule>
  </conditionalFormatting>
  <dataValidations count="12">
    <dataValidation type="whole" operator="greaterThanOrEqual" allowBlank="1" showInputMessage="1" showErrorMessage="1" errorTitle="Error" error="Minuszahlen..." sqref="C18:C29">
      <formula1>0</formula1>
    </dataValidation>
    <dataValidation type="whole" allowBlank="1" showInputMessage="1" showErrorMessage="1" errorTitle="Eingabefehler" error="Ganze Zahl zwischen 0 und 5000 eingeben." sqref="D18:K28">
      <formula1>0</formula1>
      <formula2>5000</formula2>
    </dataValidation>
    <dataValidation type="whole" showInputMessage="1" showErrorMessage="1" errorTitle="Eingabefehler" error="Summe Spalten T+U+Z+AE darf nicht größer als Summe Spalten O+P (Patientenrückmeldungen) sein." sqref="AE18:AE27">
      <formula1>0</formula1>
      <formula2>AI18</formula2>
    </dataValidation>
    <dataValidation showInputMessage="1" showErrorMessage="1" sqref="N18:N27 R18:R27"/>
    <dataValidation type="whole" allowBlank="1" showInputMessage="1" showErrorMessage="1" errorTitle="Eingabefehler" error="1.) Ganze Zahl zwischen 0 und 5000 eingeben._x000a_2.) Kann nicht größer sein als &quot;Primärfälle bei Männer und Frauen gesamt&quot;" sqref="M18:M28">
      <formula1>0</formula1>
      <formula2>C18</formula2>
    </dataValidation>
    <dataValidation type="whole" showInputMessage="1" showErrorMessage="1" errorTitle="Eingabefehler" error="Anzahl Pat. im Follow-Up zu hoch._x000a__x000a_Wenn die Eingabe nicht erlaubt ist, bitte zu erst Wert löschen und dann wieder eingeben." sqref="P18:P27">
      <formula1>0</formula1>
      <formula2>N18-O18-Q18</formula2>
    </dataValidation>
    <dataValidation type="whole" allowBlank="1" showInputMessage="1" showErrorMessage="1" errorTitle="Eingabefehler" error="Eingabe kann nicht größer sein als Ereignisse Spalte U." sqref="V18:Y27">
      <formula1>0</formula1>
      <formula2>$U18</formula2>
    </dataValidation>
    <dataValidation type="whole" allowBlank="1" showInputMessage="1" showErrorMessage="1" errorTitle="Eingabefehler" error="Eingabe kann nicht größer sein als Ereignisse Spalte Z." sqref="AA18:AD27">
      <formula1>0</formula1>
      <formula2>$Z18</formula2>
    </dataValidation>
    <dataValidation type="whole" allowBlank="1" showInputMessage="1" showErrorMessage="1" sqref="T18:T28">
      <formula1>0</formula1>
      <formula2>50000</formula2>
    </dataValidation>
    <dataValidation type="whole" showInputMessage="1" showErrorMessage="1" errorTitle="Eingabefehler" error="Anzahl Pat. im Follow-Up zu hoch._x000a__x000a_Wenn die Eingabe nicht erlaubt ist, bitte zuerst Wert löschen und dann wieder eingeben." sqref="O18:O27">
      <formula1>0</formula1>
      <formula2>N18-P18-Q18</formula2>
    </dataValidation>
    <dataValidation type="whole" allowBlank="1" showInputMessage="1" showErrorMessage="1" errorTitle="Eingabefehler" error="Summe Spalten T+U+Z+AE darf nicht größer als Summe Spalten O+P (Patientenrückmeldungen) sein." sqref="U18:U27">
      <formula1>0</formula1>
      <formula2>AG18</formula2>
    </dataValidation>
    <dataValidation type="whole" allowBlank="1" showInputMessage="1" showErrorMessage="1" errorTitle="Eingabefehler" error="Summe Spalten T+U+Z+AE darf nicht größer als Summe Spalten O+P (Patientenrückmeldungen) sein." sqref="Z18:Z27">
      <formula1>0</formula1>
      <formula2>AH18</formula2>
    </dataValidation>
  </dataValidations>
  <pageMargins left="0.39370078740157483" right="7.874015748031496E-2" top="0.59055118110236227" bottom="0.39370078740157483" header="0.11811023622047245" footer="0.11811023622047245"/>
  <pageSetup paperSize="9" scale="99" orientation="landscape" r:id="rId1"/>
  <headerFooter>
    <oddFooter xml:space="preserve">&amp;L&amp;"Arial,Standard"&amp;7&amp;F&amp;C&amp;"Arial,Standard"&amp;7 © DKG  Alle Rechte vorbehalten&amp;R&amp;"Arial,Standard"&amp;7&amp;P       </oddFooter>
  </headerFooter>
  <rowBreaks count="2" manualBreakCount="2">
    <brk id="31" max="30" man="1"/>
    <brk id="55"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C18"/>
  <sheetViews>
    <sheetView zoomScaleNormal="100" workbookViewId="0">
      <selection activeCell="H24" sqref="H24"/>
    </sheetView>
  </sheetViews>
  <sheetFormatPr baseColWidth="10" defaultColWidth="11.42578125" defaultRowHeight="11.25" x14ac:dyDescent="0.2"/>
  <cols>
    <col min="1" max="1" width="13.42578125" style="48" customWidth="1"/>
    <col min="2" max="2" width="11.28515625" style="48" customWidth="1"/>
    <col min="3" max="3" width="13.7109375" style="48" customWidth="1"/>
    <col min="4" max="10" width="5.7109375" style="48" customWidth="1"/>
    <col min="11" max="11" width="10.140625" style="48" customWidth="1"/>
    <col min="12" max="12" width="15.7109375" style="48" customWidth="1"/>
    <col min="13" max="13" width="14.5703125" style="48" customWidth="1"/>
    <col min="14" max="14" width="13.42578125" style="48" customWidth="1"/>
    <col min="15" max="15" width="14.5703125" style="48" customWidth="1"/>
    <col min="16" max="16" width="12" style="48" customWidth="1"/>
    <col min="17" max="17" width="10.7109375" style="48" customWidth="1"/>
    <col min="18" max="18" width="17" style="48" customWidth="1"/>
    <col min="19" max="19" width="13.85546875" style="48" customWidth="1"/>
    <col min="20" max="20" width="11" style="48" customWidth="1"/>
    <col min="21" max="21" width="12.28515625" style="48" customWidth="1"/>
    <col min="22" max="22" width="9.140625" style="48" customWidth="1"/>
    <col min="23" max="23" width="13.42578125" style="48" customWidth="1"/>
    <col min="24" max="24" width="14.28515625" style="48" customWidth="1"/>
    <col min="25" max="25" width="12.85546875" style="48" customWidth="1"/>
    <col min="26" max="26" width="12.7109375" style="48" customWidth="1"/>
    <col min="27" max="28" width="16.140625" style="48" customWidth="1"/>
    <col min="29" max="29" width="14.140625" style="48" customWidth="1"/>
    <col min="30" max="256" width="9.140625" style="48" customWidth="1"/>
    <col min="257" max="16384" width="11.42578125" style="48"/>
  </cols>
  <sheetData>
    <row r="1" spans="1:29" s="71" customFormat="1" ht="86.25" customHeight="1" x14ac:dyDescent="0.25">
      <c r="A1" s="100" t="str">
        <f>Matrix!A15</f>
        <v>Relevante Nachsorgejahre</v>
      </c>
      <c r="B1" s="100" t="str">
        <f>Matrix!B15</f>
        <v>Jahr der Erstdiagnose</v>
      </c>
      <c r="C1" s="100" t="str">
        <f>Matrix!C15</f>
        <v xml:space="preserve">Primärfälle bei Männer und
Frauen gesamt  (= SUMME D-K)  </v>
      </c>
      <c r="D1" s="100" t="str">
        <f>LEFT(Matrix!D15,4)</f>
        <v xml:space="preserve">Tis </v>
      </c>
      <c r="E1" s="100" t="str">
        <f>LEFT(Matrix!E15,3)</f>
        <v xml:space="preserve">T1 </v>
      </c>
      <c r="F1" s="100" t="str">
        <f>LEFT(Matrix!F15,3)</f>
        <v xml:space="preserve">T2 </v>
      </c>
      <c r="G1" s="100" t="str">
        <f>LEFT(Matrix!G15,3)</f>
        <v xml:space="preserve">T3 </v>
      </c>
      <c r="H1" s="100" t="str">
        <f>LEFT(Matrix!H15,3)</f>
        <v xml:space="preserve">T4 </v>
      </c>
      <c r="I1" s="100" t="str">
        <f>LEFT(Matrix!I15,2)</f>
        <v>N+</v>
      </c>
      <c r="J1" s="100" t="str">
        <f>LEFT(Matrix!J15,2)</f>
        <v>M1</v>
      </c>
      <c r="K1" s="100" t="str">
        <f>Matrix!K15</f>
        <v>nicht zuzuordnen</v>
      </c>
      <c r="L1" s="100" t="str">
        <f>Matrix!M15</f>
        <v>davon posttherapeutisch 
nicht tumorfrei</v>
      </c>
      <c r="M1" s="100" t="str">
        <f>Matrix!N15</f>
        <v xml:space="preserve">Grundgesamtheit Follow-Up
(=C-M) 
</v>
      </c>
      <c r="N1" s="100" t="str">
        <f>LEFT(Matrix!O15,44)</f>
        <v>Follow-Up-Daten vom Klinischen
Krebsregister</v>
      </c>
      <c r="O1" s="100" t="str">
        <f>LEFT(Matrix!P15,57)</f>
        <v xml:space="preserve">Follow-Up-Daten vom Zentrum
(bzw. Quelle nicht bekannt)  </v>
      </c>
      <c r="P1" s="100" t="str">
        <f>LEFT(Matrix!Q15,57)</f>
        <v>keine Rückmeldung  (=N-O-P)</v>
      </c>
      <c r="Q1" s="100" t="str">
        <f>Matrix!R15</f>
        <v>Follow-Up Quote in %
= (O + P)  / N</v>
      </c>
      <c r="R1" s="100" t="str">
        <f>LEFT(Matrix!T15,62)</f>
        <v xml:space="preserve">kein Ereignis pro Fall eingetreten 
( =(O + P) - U - Z - AE ) </v>
      </c>
      <c r="S1" s="100" t="str">
        <f>CONCATENATE(LEFT(Matrix!$U$15,6)," - ",LEFT(Matrix!U16,35))</f>
        <v>Lebend - 1 Ereignis in Spalte V, W, 
X und Y</v>
      </c>
      <c r="T1" s="100" t="str">
        <f>CONCATENATE(LEFT(Matrix!$U$15,6)," - ",LEFT(Matrix!V16,12))</f>
        <v>Lebend - Lokalrezidiv</v>
      </c>
      <c r="U1" s="100" t="str">
        <f>CONCATENATE(LEFT(Matrix!$U$15,6)," - ",LEFT(Matrix!W16,20))</f>
        <v xml:space="preserve">Lebend - Lymphknotenrezidiv  </v>
      </c>
      <c r="V1" s="100" t="str">
        <f>CONCATENATE(LEFT(Matrix!$U$15,6)," - ",LEFT(Matrix!X16,15))</f>
        <v xml:space="preserve">Lebend - Fernmetastasen </v>
      </c>
      <c r="W1" s="100" t="str">
        <f>CONCATENATE(LEFT(Matrix!$U$15,6)," - ",LEFT(Matrix!Y16,35))</f>
        <v xml:space="preserve">Lebend - Diagnose Zweitmalignom im Verlauf  </v>
      </c>
      <c r="X1" s="100" t="str">
        <f>CONCATENATE(LEFT(Matrix!$Z$15,37)," - ",LEFT(Matrix!Z16,40))</f>
        <v xml:space="preserve">Verstorben 
mit Ereignis in Follow-Up - 1 Ereignis in Spalte AA, AB, 
AC und AD </v>
      </c>
      <c r="Y1" s="100" t="str">
        <f>CONCATENATE(LEFT(Matrix!$Z$15,37)," - ",LEFT(Matrix!AA16,12))</f>
        <v>Verstorben 
mit Ereignis in Follow-Up - Lokalrezidiv</v>
      </c>
      <c r="Z1" s="100" t="str">
        <f>CONCATENATE(LEFT(Matrix!$Z$15,37)," - ",LEFT(Matrix!AB16,20))</f>
        <v xml:space="preserve">Verstorben 
mit Ereignis in Follow-Up - Lymphknotenrezidiv  </v>
      </c>
      <c r="AA1" s="100" t="str">
        <f>CONCATENATE(LEFT(Matrix!$Z$15,37)," - ",LEFT(Matrix!AC16,15))</f>
        <v xml:space="preserve">Verstorben 
mit Ereignis in Follow-Up - Fernmetastasen </v>
      </c>
      <c r="AB1" s="100" t="str">
        <f>CONCATENATE(LEFT(Matrix!$Z$15,37)," - ",LEFT(Matrix!AD16,34))</f>
        <v xml:space="preserve">Verstorben 
mit Ereignis in Follow-Up - Diagnose Zweitmalignom im Verlauf </v>
      </c>
      <c r="AC1" s="100" t="str">
        <f>LEFT(Matrix!AE15,50)</f>
        <v>Verstorben ohne Ereignis in
 Follow-Up / unbekannt</v>
      </c>
    </row>
    <row r="2" spans="1:29" x14ac:dyDescent="0.2">
      <c r="A2" s="125" t="str">
        <f>Matrix!A18</f>
        <v>nicht relevant</v>
      </c>
      <c r="B2" s="124">
        <f>Matrix!B18</f>
        <v>2013</v>
      </c>
      <c r="C2" s="70">
        <f>IF(Matrix!C18="","",Matrix!C18)</f>
        <v>0</v>
      </c>
      <c r="D2" s="70" t="str">
        <f>IF(Matrix!D18="","",Matrix!D18)</f>
        <v/>
      </c>
      <c r="E2" s="70" t="str">
        <f>IF(Matrix!E18="","",Matrix!E18)</f>
        <v/>
      </c>
      <c r="F2" s="70" t="str">
        <f>IF(Matrix!F18="","",Matrix!F18)</f>
        <v/>
      </c>
      <c r="G2" s="70" t="str">
        <f>IF(Matrix!G18="","",Matrix!G18)</f>
        <v/>
      </c>
      <c r="H2" s="70" t="str">
        <f>IF(Matrix!H18="","",Matrix!H18)</f>
        <v/>
      </c>
      <c r="I2" s="70" t="str">
        <f>IF(Matrix!I18="","",Matrix!I18)</f>
        <v/>
      </c>
      <c r="J2" s="70" t="str">
        <f>IF(Matrix!J18="","",Matrix!J18)</f>
        <v/>
      </c>
      <c r="K2" s="70" t="str">
        <f>IF(Matrix!K18="","",Matrix!K18)</f>
        <v/>
      </c>
      <c r="L2" s="70" t="str">
        <f>IF(Matrix!M18="","",Matrix!M18)</f>
        <v/>
      </c>
      <c r="M2" s="70">
        <f>IF(Matrix!N18="","",Matrix!N18)</f>
        <v>0</v>
      </c>
      <c r="N2" s="70" t="str">
        <f>IF(Matrix!O18="","",Matrix!O18)</f>
        <v/>
      </c>
      <c r="O2" s="70" t="str">
        <f>IF(Matrix!P18="","",Matrix!P18)</f>
        <v/>
      </c>
      <c r="P2" s="70">
        <f>IF(Matrix!Q18="","",Matrix!Q18)</f>
        <v>0</v>
      </c>
      <c r="Q2" s="187" t="str">
        <f>IF(Matrix!R18="","",Matrix!R18*100)</f>
        <v/>
      </c>
      <c r="R2" s="70">
        <f>IF(Matrix!T18="","",Matrix!T18)</f>
        <v>0</v>
      </c>
      <c r="S2" s="70" t="str">
        <f>IF(Matrix!U18="","",Matrix!U18)</f>
        <v/>
      </c>
      <c r="T2" s="70" t="str">
        <f>IF(Matrix!V18="","",Matrix!V18)</f>
        <v/>
      </c>
      <c r="U2" s="70" t="str">
        <f>IF(Matrix!W18="","",Matrix!W18)</f>
        <v/>
      </c>
      <c r="V2" s="70" t="str">
        <f>IF(Matrix!X18="","",Matrix!X18)</f>
        <v/>
      </c>
      <c r="W2" s="70" t="str">
        <f>IF(Matrix!Y18="","",Matrix!Y18)</f>
        <v/>
      </c>
      <c r="X2" s="70" t="str">
        <f>IF(Matrix!Z18="","",Matrix!Z18)</f>
        <v/>
      </c>
      <c r="Y2" s="70" t="str">
        <f>IF(Matrix!AA18="","",Matrix!AA18)</f>
        <v/>
      </c>
      <c r="Z2" s="70" t="str">
        <f>IF(Matrix!AB18="","",Matrix!AB18)</f>
        <v/>
      </c>
      <c r="AA2" s="70" t="str">
        <f>IF(Matrix!AC18="","",Matrix!AC18)</f>
        <v/>
      </c>
      <c r="AB2" s="70" t="str">
        <f>IF(Matrix!AD18="","",Matrix!AD18)</f>
        <v/>
      </c>
      <c r="AC2" s="70" t="str">
        <f>IF(Matrix!AE18="","",Matrix!AE18)</f>
        <v/>
      </c>
    </row>
    <row r="3" spans="1:29" x14ac:dyDescent="0.2">
      <c r="A3" s="125" t="str">
        <f>Matrix!A19</f>
        <v>nicht relevant</v>
      </c>
      <c r="B3" s="124">
        <f>Matrix!B19</f>
        <v>2014</v>
      </c>
      <c r="C3" s="70">
        <f>IF(Matrix!C19="","",Matrix!C19)</f>
        <v>0</v>
      </c>
      <c r="D3" s="70" t="str">
        <f>IF(Matrix!D19="","",Matrix!D19)</f>
        <v/>
      </c>
      <c r="E3" s="70" t="str">
        <f>IF(Matrix!E19="","",Matrix!E19)</f>
        <v/>
      </c>
      <c r="F3" s="70" t="str">
        <f>IF(Matrix!F19="","",Matrix!F19)</f>
        <v/>
      </c>
      <c r="G3" s="70" t="str">
        <f>IF(Matrix!G19="","",Matrix!G19)</f>
        <v/>
      </c>
      <c r="H3" s="70" t="str">
        <f>IF(Matrix!H19="","",Matrix!H19)</f>
        <v/>
      </c>
      <c r="I3" s="70" t="str">
        <f>IF(Matrix!I19="","",Matrix!I19)</f>
        <v/>
      </c>
      <c r="J3" s="70" t="str">
        <f>IF(Matrix!J19="","",Matrix!J19)</f>
        <v/>
      </c>
      <c r="K3" s="70" t="str">
        <f>IF(Matrix!K19="","",Matrix!K19)</f>
        <v/>
      </c>
      <c r="L3" s="70" t="str">
        <f>IF(Matrix!M19="","",Matrix!M19)</f>
        <v/>
      </c>
      <c r="M3" s="70">
        <f>IF(Matrix!N19="","",Matrix!N19)</f>
        <v>0</v>
      </c>
      <c r="N3" s="70" t="str">
        <f>IF(Matrix!O19="","",Matrix!O19)</f>
        <v/>
      </c>
      <c r="O3" s="70" t="str">
        <f>IF(Matrix!P19="","",Matrix!P19)</f>
        <v/>
      </c>
      <c r="P3" s="70">
        <f>IF(Matrix!Q19="","",Matrix!Q19)</f>
        <v>0</v>
      </c>
      <c r="Q3" s="187" t="str">
        <f>IF(Matrix!R19="","",Matrix!R19*100)</f>
        <v/>
      </c>
      <c r="R3" s="70">
        <f>IF(Matrix!T19="","",Matrix!T19)</f>
        <v>0</v>
      </c>
      <c r="S3" s="70" t="str">
        <f>IF(Matrix!U19="","",Matrix!U19)</f>
        <v/>
      </c>
      <c r="T3" s="70" t="str">
        <f>IF(Matrix!V19="","",Matrix!V19)</f>
        <v/>
      </c>
      <c r="U3" s="70" t="str">
        <f>IF(Matrix!W19="","",Matrix!W19)</f>
        <v/>
      </c>
      <c r="V3" s="70" t="str">
        <f>IF(Matrix!X19="","",Matrix!X19)</f>
        <v/>
      </c>
      <c r="W3" s="70" t="str">
        <f>IF(Matrix!Y19="","",Matrix!Y19)</f>
        <v/>
      </c>
      <c r="X3" s="70" t="str">
        <f>IF(Matrix!Z19="","",Matrix!Z19)</f>
        <v/>
      </c>
      <c r="Y3" s="70" t="str">
        <f>IF(Matrix!AA19="","",Matrix!AA19)</f>
        <v/>
      </c>
      <c r="Z3" s="70" t="str">
        <f>IF(Matrix!AB19="","",Matrix!AB19)</f>
        <v/>
      </c>
      <c r="AA3" s="70" t="str">
        <f>IF(Matrix!AC19="","",Matrix!AC19)</f>
        <v/>
      </c>
      <c r="AB3" s="70" t="str">
        <f>IF(Matrix!AD19="","",Matrix!AD19)</f>
        <v/>
      </c>
      <c r="AC3" s="70" t="str">
        <f>IF(Matrix!AE19="","",Matrix!AE19)</f>
        <v/>
      </c>
    </row>
    <row r="4" spans="1:29" x14ac:dyDescent="0.2">
      <c r="A4" s="125" t="str">
        <f>Matrix!A20</f>
        <v>nicht relevant</v>
      </c>
      <c r="B4" s="124">
        <f>Matrix!B20</f>
        <v>2015</v>
      </c>
      <c r="C4" s="70">
        <f>IF(Matrix!C20="","",Matrix!C20)</f>
        <v>0</v>
      </c>
      <c r="D4" s="70" t="str">
        <f>IF(Matrix!D20="","",Matrix!D20)</f>
        <v/>
      </c>
      <c r="E4" s="70" t="str">
        <f>IF(Matrix!E20="","",Matrix!E20)</f>
        <v/>
      </c>
      <c r="F4" s="70" t="str">
        <f>IF(Matrix!F20="","",Matrix!F20)</f>
        <v/>
      </c>
      <c r="G4" s="70" t="str">
        <f>IF(Matrix!G20="","",Matrix!G20)</f>
        <v/>
      </c>
      <c r="H4" s="70" t="str">
        <f>IF(Matrix!H20="","",Matrix!H20)</f>
        <v/>
      </c>
      <c r="I4" s="70" t="str">
        <f>IF(Matrix!I20="","",Matrix!I20)</f>
        <v/>
      </c>
      <c r="J4" s="70" t="str">
        <f>IF(Matrix!J20="","",Matrix!J20)</f>
        <v/>
      </c>
      <c r="K4" s="70" t="str">
        <f>IF(Matrix!K20="","",Matrix!K20)</f>
        <v/>
      </c>
      <c r="L4" s="70" t="str">
        <f>IF(Matrix!M20="","",Matrix!M20)</f>
        <v/>
      </c>
      <c r="M4" s="70">
        <f>IF(Matrix!N20="","",Matrix!N20)</f>
        <v>0</v>
      </c>
      <c r="N4" s="70" t="str">
        <f>IF(Matrix!O20="","",Matrix!O20)</f>
        <v/>
      </c>
      <c r="O4" s="70" t="str">
        <f>IF(Matrix!P20="","",Matrix!P20)</f>
        <v/>
      </c>
      <c r="P4" s="70">
        <f>IF(Matrix!Q20="","",Matrix!Q20)</f>
        <v>0</v>
      </c>
      <c r="Q4" s="187" t="str">
        <f>IF(Matrix!R20="","",Matrix!R20*100)</f>
        <v/>
      </c>
      <c r="R4" s="70">
        <f>IF(Matrix!T20="","",Matrix!T20)</f>
        <v>0</v>
      </c>
      <c r="S4" s="70" t="str">
        <f>IF(Matrix!U20="","",Matrix!U20)</f>
        <v/>
      </c>
      <c r="T4" s="70" t="str">
        <f>IF(Matrix!V20="","",Matrix!V20)</f>
        <v/>
      </c>
      <c r="U4" s="70" t="str">
        <f>IF(Matrix!W20="","",Matrix!W20)</f>
        <v/>
      </c>
      <c r="V4" s="70" t="str">
        <f>IF(Matrix!X20="","",Matrix!X20)</f>
        <v/>
      </c>
      <c r="W4" s="70" t="str">
        <f>IF(Matrix!Y20="","",Matrix!Y20)</f>
        <v/>
      </c>
      <c r="X4" s="70" t="str">
        <f>IF(Matrix!Z20="","",Matrix!Z20)</f>
        <v/>
      </c>
      <c r="Y4" s="70" t="str">
        <f>IF(Matrix!AA20="","",Matrix!AA20)</f>
        <v/>
      </c>
      <c r="Z4" s="70" t="str">
        <f>IF(Matrix!AB20="","",Matrix!AB20)</f>
        <v/>
      </c>
      <c r="AA4" s="70" t="str">
        <f>IF(Matrix!AC20="","",Matrix!AC20)</f>
        <v/>
      </c>
      <c r="AB4" s="70" t="str">
        <f>IF(Matrix!AD20="","",Matrix!AD20)</f>
        <v/>
      </c>
      <c r="AC4" s="70" t="str">
        <f>IF(Matrix!AE20="","",Matrix!AE20)</f>
        <v/>
      </c>
    </row>
    <row r="5" spans="1:29" x14ac:dyDescent="0.2">
      <c r="A5" s="125" t="str">
        <f>Matrix!A21</f>
        <v>nicht relevant</v>
      </c>
      <c r="B5" s="124">
        <f>Matrix!B21</f>
        <v>2016</v>
      </c>
      <c r="C5" s="70">
        <f>IF(Matrix!C21="","",Matrix!C21)</f>
        <v>0</v>
      </c>
      <c r="D5" s="70" t="str">
        <f>IF(Matrix!D21="","",Matrix!D21)</f>
        <v/>
      </c>
      <c r="E5" s="70" t="str">
        <f>IF(Matrix!E21="","",Matrix!E21)</f>
        <v/>
      </c>
      <c r="F5" s="70" t="str">
        <f>IF(Matrix!F21="","",Matrix!F21)</f>
        <v/>
      </c>
      <c r="G5" s="70" t="str">
        <f>IF(Matrix!G21="","",Matrix!G21)</f>
        <v/>
      </c>
      <c r="H5" s="70" t="str">
        <f>IF(Matrix!H21="","",Matrix!H21)</f>
        <v/>
      </c>
      <c r="I5" s="70" t="str">
        <f>IF(Matrix!I21="","",Matrix!I21)</f>
        <v/>
      </c>
      <c r="J5" s="70" t="str">
        <f>IF(Matrix!J21="","",Matrix!J21)</f>
        <v/>
      </c>
      <c r="K5" s="70" t="str">
        <f>IF(Matrix!K21="","",Matrix!K21)</f>
        <v/>
      </c>
      <c r="L5" s="70" t="str">
        <f>IF(Matrix!M21="","",Matrix!M21)</f>
        <v/>
      </c>
      <c r="M5" s="70">
        <f>IF(Matrix!N21="","",Matrix!N21)</f>
        <v>0</v>
      </c>
      <c r="N5" s="70" t="str">
        <f>IF(Matrix!O21="","",Matrix!O21)</f>
        <v/>
      </c>
      <c r="O5" s="70" t="str">
        <f>IF(Matrix!P21="","",Matrix!P21)</f>
        <v/>
      </c>
      <c r="P5" s="70">
        <f>IF(Matrix!Q21="","",Matrix!Q21)</f>
        <v>0</v>
      </c>
      <c r="Q5" s="187" t="str">
        <f>IF(Matrix!R21="","",Matrix!R21*100)</f>
        <v/>
      </c>
      <c r="R5" s="70">
        <f>IF(Matrix!T21="","",Matrix!T21)</f>
        <v>0</v>
      </c>
      <c r="S5" s="70" t="str">
        <f>IF(Matrix!U21="","",Matrix!U21)</f>
        <v/>
      </c>
      <c r="T5" s="70" t="str">
        <f>IF(Matrix!V21="","",Matrix!V21)</f>
        <v/>
      </c>
      <c r="U5" s="70" t="str">
        <f>IF(Matrix!W21="","",Matrix!W21)</f>
        <v/>
      </c>
      <c r="V5" s="70" t="str">
        <f>IF(Matrix!X21="","",Matrix!X21)</f>
        <v/>
      </c>
      <c r="W5" s="70" t="str">
        <f>IF(Matrix!Y21="","",Matrix!Y21)</f>
        <v/>
      </c>
      <c r="X5" s="70" t="str">
        <f>IF(Matrix!Z21="","",Matrix!Z21)</f>
        <v/>
      </c>
      <c r="Y5" s="70" t="str">
        <f>IF(Matrix!AA21="","",Matrix!AA21)</f>
        <v/>
      </c>
      <c r="Z5" s="70" t="str">
        <f>IF(Matrix!AB21="","",Matrix!AB21)</f>
        <v/>
      </c>
      <c r="AA5" s="70" t="str">
        <f>IF(Matrix!AC21="","",Matrix!AC21)</f>
        <v/>
      </c>
      <c r="AB5" s="70" t="str">
        <f>IF(Matrix!AD21="","",Matrix!AD21)</f>
        <v/>
      </c>
      <c r="AC5" s="70" t="str">
        <f>IF(Matrix!AE21="","",Matrix!AE21)</f>
        <v/>
      </c>
    </row>
    <row r="6" spans="1:29" x14ac:dyDescent="0.2">
      <c r="A6" s="125" t="str">
        <f>Matrix!A22</f>
        <v>nicht relevant</v>
      </c>
      <c r="B6" s="124">
        <f>Matrix!B22</f>
        <v>2017</v>
      </c>
      <c r="C6" s="70">
        <f>IF(Matrix!C22="","",Matrix!C22)</f>
        <v>0</v>
      </c>
      <c r="D6" s="70" t="str">
        <f>IF(Matrix!D22="","",Matrix!D22)</f>
        <v/>
      </c>
      <c r="E6" s="70" t="str">
        <f>IF(Matrix!E22="","",Matrix!E22)</f>
        <v/>
      </c>
      <c r="F6" s="70" t="str">
        <f>IF(Matrix!F22="","",Matrix!F22)</f>
        <v/>
      </c>
      <c r="G6" s="70" t="str">
        <f>IF(Matrix!G22="","",Matrix!G22)</f>
        <v/>
      </c>
      <c r="H6" s="70" t="str">
        <f>IF(Matrix!H22="","",Matrix!H22)</f>
        <v/>
      </c>
      <c r="I6" s="70" t="str">
        <f>IF(Matrix!I22="","",Matrix!I22)</f>
        <v/>
      </c>
      <c r="J6" s="70" t="str">
        <f>IF(Matrix!J22="","",Matrix!J22)</f>
        <v/>
      </c>
      <c r="K6" s="70" t="str">
        <f>IF(Matrix!K22="","",Matrix!K22)</f>
        <v/>
      </c>
      <c r="L6" s="70" t="str">
        <f>IF(Matrix!M22="","",Matrix!M22)</f>
        <v/>
      </c>
      <c r="M6" s="70">
        <f>IF(Matrix!N22="","",Matrix!N22)</f>
        <v>0</v>
      </c>
      <c r="N6" s="70" t="str">
        <f>IF(Matrix!O22="","",Matrix!O22)</f>
        <v/>
      </c>
      <c r="O6" s="70" t="str">
        <f>IF(Matrix!P22="","",Matrix!P22)</f>
        <v/>
      </c>
      <c r="P6" s="70">
        <f>IF(Matrix!Q22="","",Matrix!Q22)</f>
        <v>0</v>
      </c>
      <c r="Q6" s="187" t="str">
        <f>IF(Matrix!R22="","",Matrix!R22*100)</f>
        <v/>
      </c>
      <c r="R6" s="70">
        <f>IF(Matrix!T22="","",Matrix!T22)</f>
        <v>0</v>
      </c>
      <c r="S6" s="70" t="str">
        <f>IF(Matrix!U22="","",Matrix!U22)</f>
        <v/>
      </c>
      <c r="T6" s="70" t="str">
        <f>IF(Matrix!V22="","",Matrix!V22)</f>
        <v/>
      </c>
      <c r="U6" s="70" t="str">
        <f>IF(Matrix!W22="","",Matrix!W22)</f>
        <v/>
      </c>
      <c r="V6" s="70" t="str">
        <f>IF(Matrix!X22="","",Matrix!X22)</f>
        <v/>
      </c>
      <c r="W6" s="70" t="str">
        <f>IF(Matrix!Y22="","",Matrix!Y22)</f>
        <v/>
      </c>
      <c r="X6" s="70" t="str">
        <f>IF(Matrix!Z22="","",Matrix!Z22)</f>
        <v/>
      </c>
      <c r="Y6" s="70" t="str">
        <f>IF(Matrix!AA22="","",Matrix!AA22)</f>
        <v/>
      </c>
      <c r="Z6" s="70" t="str">
        <f>IF(Matrix!AB22="","",Matrix!AB22)</f>
        <v/>
      </c>
      <c r="AA6" s="70" t="str">
        <f>IF(Matrix!AC22="","",Matrix!AC22)</f>
        <v/>
      </c>
      <c r="AB6" s="70" t="str">
        <f>IF(Matrix!AD22="","",Matrix!AD22)</f>
        <v/>
      </c>
      <c r="AC6" s="70" t="str">
        <f>IF(Matrix!AE22="","",Matrix!AE22)</f>
        <v/>
      </c>
    </row>
    <row r="7" spans="1:29" x14ac:dyDescent="0.2">
      <c r="A7" s="125" t="str">
        <f>Matrix!A23</f>
        <v>nicht relevant</v>
      </c>
      <c r="B7" s="124">
        <f>Matrix!B23</f>
        <v>2018</v>
      </c>
      <c r="C7" s="70">
        <f>IF(Matrix!C23="","",Matrix!C23)</f>
        <v>0</v>
      </c>
      <c r="D7" s="70" t="str">
        <f>IF(Matrix!D23="","",Matrix!D23)</f>
        <v/>
      </c>
      <c r="E7" s="70" t="str">
        <f>IF(Matrix!E23="","",Matrix!E23)</f>
        <v/>
      </c>
      <c r="F7" s="70" t="str">
        <f>IF(Matrix!F23="","",Matrix!F23)</f>
        <v/>
      </c>
      <c r="G7" s="70" t="str">
        <f>IF(Matrix!G23="","",Matrix!G23)</f>
        <v/>
      </c>
      <c r="H7" s="70" t="str">
        <f>IF(Matrix!H23="","",Matrix!H23)</f>
        <v/>
      </c>
      <c r="I7" s="70" t="str">
        <f>IF(Matrix!I23="","",Matrix!I23)</f>
        <v/>
      </c>
      <c r="J7" s="70" t="str">
        <f>IF(Matrix!J23="","",Matrix!J23)</f>
        <v/>
      </c>
      <c r="K7" s="70" t="str">
        <f>IF(Matrix!K23="","",Matrix!K23)</f>
        <v/>
      </c>
      <c r="L7" s="70" t="str">
        <f>IF(Matrix!M23="","",Matrix!M23)</f>
        <v/>
      </c>
      <c r="M7" s="70">
        <f>IF(Matrix!N23="","",Matrix!N23)</f>
        <v>0</v>
      </c>
      <c r="N7" s="70" t="str">
        <f>IF(Matrix!O23="","",Matrix!O23)</f>
        <v/>
      </c>
      <c r="O7" s="70" t="str">
        <f>IF(Matrix!P23="","",Matrix!P23)</f>
        <v/>
      </c>
      <c r="P7" s="70">
        <f>IF(Matrix!Q23="","",Matrix!Q23)</f>
        <v>0</v>
      </c>
      <c r="Q7" s="187" t="str">
        <f>IF(Matrix!R23="","",Matrix!R23*100)</f>
        <v/>
      </c>
      <c r="R7" s="70">
        <f>IF(Matrix!T23="","",Matrix!T23)</f>
        <v>0</v>
      </c>
      <c r="S7" s="70" t="str">
        <f>IF(Matrix!U23="","",Matrix!U23)</f>
        <v/>
      </c>
      <c r="T7" s="70" t="str">
        <f>IF(Matrix!V23="","",Matrix!V23)</f>
        <v/>
      </c>
      <c r="U7" s="70" t="str">
        <f>IF(Matrix!W23="","",Matrix!W23)</f>
        <v/>
      </c>
      <c r="V7" s="70" t="str">
        <f>IF(Matrix!X23="","",Matrix!X23)</f>
        <v/>
      </c>
      <c r="W7" s="70" t="str">
        <f>IF(Matrix!Y23="","",Matrix!Y23)</f>
        <v/>
      </c>
      <c r="X7" s="70" t="str">
        <f>IF(Matrix!Z23="","",Matrix!Z23)</f>
        <v/>
      </c>
      <c r="Y7" s="70" t="str">
        <f>IF(Matrix!AA23="","",Matrix!AA23)</f>
        <v/>
      </c>
      <c r="Z7" s="70" t="str">
        <f>IF(Matrix!AB23="","",Matrix!AB23)</f>
        <v/>
      </c>
      <c r="AA7" s="70" t="str">
        <f>IF(Matrix!AC23="","",Matrix!AC23)</f>
        <v/>
      </c>
      <c r="AB7" s="70" t="str">
        <f>IF(Matrix!AD23="","",Matrix!AD23)</f>
        <v/>
      </c>
      <c r="AC7" s="70" t="str">
        <f>IF(Matrix!AE23="","",Matrix!AE23)</f>
        <v/>
      </c>
    </row>
    <row r="8" spans="1:29" x14ac:dyDescent="0.2">
      <c r="A8" s="125" t="str">
        <f>Matrix!A24</f>
        <v>nicht relevant</v>
      </c>
      <c r="B8" s="124">
        <f>Matrix!B24</f>
        <v>2019</v>
      </c>
      <c r="C8" s="70">
        <f>IF(Matrix!C24="","",Matrix!C24)</f>
        <v>0</v>
      </c>
      <c r="D8" s="70" t="str">
        <f>IF(Matrix!D24="","",Matrix!D24)</f>
        <v/>
      </c>
      <c r="E8" s="70" t="str">
        <f>IF(Matrix!E24="","",Matrix!E24)</f>
        <v/>
      </c>
      <c r="F8" s="70" t="str">
        <f>IF(Matrix!F24="","",Matrix!F24)</f>
        <v/>
      </c>
      <c r="G8" s="70" t="str">
        <f>IF(Matrix!G24="","",Matrix!G24)</f>
        <v/>
      </c>
      <c r="H8" s="70" t="str">
        <f>IF(Matrix!H24="","",Matrix!H24)</f>
        <v/>
      </c>
      <c r="I8" s="70" t="str">
        <f>IF(Matrix!I24="","",Matrix!I24)</f>
        <v/>
      </c>
      <c r="J8" s="70" t="str">
        <f>IF(Matrix!J24="","",Matrix!J24)</f>
        <v/>
      </c>
      <c r="K8" s="70" t="str">
        <f>IF(Matrix!K24="","",Matrix!K24)</f>
        <v/>
      </c>
      <c r="L8" s="70" t="str">
        <f>IF(Matrix!M24="","",Matrix!M24)</f>
        <v/>
      </c>
      <c r="M8" s="70">
        <f>IF(Matrix!N24="","",Matrix!N24)</f>
        <v>0</v>
      </c>
      <c r="N8" s="70" t="str">
        <f>IF(Matrix!O24="","",Matrix!O24)</f>
        <v/>
      </c>
      <c r="O8" s="70" t="str">
        <f>IF(Matrix!P24="","",Matrix!P24)</f>
        <v/>
      </c>
      <c r="P8" s="70">
        <f>IF(Matrix!Q24="","",Matrix!Q24)</f>
        <v>0</v>
      </c>
      <c r="Q8" s="187" t="str">
        <f>IF(Matrix!R24="","",Matrix!R24*100)</f>
        <v/>
      </c>
      <c r="R8" s="70">
        <f>IF(Matrix!T24="","",Matrix!T24)</f>
        <v>0</v>
      </c>
      <c r="S8" s="70" t="str">
        <f>IF(Matrix!U24="","",Matrix!U24)</f>
        <v/>
      </c>
      <c r="T8" s="70" t="str">
        <f>IF(Matrix!V24="","",Matrix!V24)</f>
        <v/>
      </c>
      <c r="U8" s="70" t="str">
        <f>IF(Matrix!W24="","",Matrix!W24)</f>
        <v/>
      </c>
      <c r="V8" s="70" t="str">
        <f>IF(Matrix!X24="","",Matrix!X24)</f>
        <v/>
      </c>
      <c r="W8" s="70" t="str">
        <f>IF(Matrix!Y24="","",Matrix!Y24)</f>
        <v/>
      </c>
      <c r="X8" s="70" t="str">
        <f>IF(Matrix!Z24="","",Matrix!Z24)</f>
        <v/>
      </c>
      <c r="Y8" s="70" t="str">
        <f>IF(Matrix!AA24="","",Matrix!AA24)</f>
        <v/>
      </c>
      <c r="Z8" s="70" t="str">
        <f>IF(Matrix!AB24="","",Matrix!AB24)</f>
        <v/>
      </c>
      <c r="AA8" s="70" t="str">
        <f>IF(Matrix!AC24="","",Matrix!AC24)</f>
        <v/>
      </c>
      <c r="AB8" s="70" t="str">
        <f>IF(Matrix!AD24="","",Matrix!AD24)</f>
        <v/>
      </c>
      <c r="AC8" s="70" t="str">
        <f>IF(Matrix!AE24="","",Matrix!AE24)</f>
        <v/>
      </c>
    </row>
    <row r="9" spans="1:29" x14ac:dyDescent="0.2">
      <c r="A9" s="125" t="str">
        <f>Matrix!A25</f>
        <v>nicht relevant</v>
      </c>
      <c r="B9" s="124">
        <f>Matrix!B25</f>
        <v>2020</v>
      </c>
      <c r="C9" s="70">
        <f>IF(Matrix!C25="","",Matrix!C25)</f>
        <v>0</v>
      </c>
      <c r="D9" s="70" t="str">
        <f>IF(Matrix!D25="","",Matrix!D25)</f>
        <v/>
      </c>
      <c r="E9" s="70" t="str">
        <f>IF(Matrix!E25="","",Matrix!E25)</f>
        <v/>
      </c>
      <c r="F9" s="70" t="str">
        <f>IF(Matrix!F25="","",Matrix!F25)</f>
        <v/>
      </c>
      <c r="G9" s="70" t="str">
        <f>IF(Matrix!G25="","",Matrix!G25)</f>
        <v/>
      </c>
      <c r="H9" s="70" t="str">
        <f>IF(Matrix!H25="","",Matrix!H25)</f>
        <v/>
      </c>
      <c r="I9" s="70" t="str">
        <f>IF(Matrix!I25="","",Matrix!I25)</f>
        <v/>
      </c>
      <c r="J9" s="70" t="str">
        <f>IF(Matrix!J25="","",Matrix!J25)</f>
        <v/>
      </c>
      <c r="K9" s="70" t="str">
        <f>IF(Matrix!K25="","",Matrix!K25)</f>
        <v/>
      </c>
      <c r="L9" s="70" t="str">
        <f>IF(Matrix!M25="","",Matrix!M25)</f>
        <v/>
      </c>
      <c r="M9" s="70">
        <f>IF(Matrix!N25="","",Matrix!N25)</f>
        <v>0</v>
      </c>
      <c r="N9" s="70" t="str">
        <f>IF(Matrix!O25="","",Matrix!O25)</f>
        <v/>
      </c>
      <c r="O9" s="70" t="str">
        <f>IF(Matrix!P25="","",Matrix!P25)</f>
        <v/>
      </c>
      <c r="P9" s="70">
        <f>IF(Matrix!Q25="","",Matrix!Q25)</f>
        <v>0</v>
      </c>
      <c r="Q9" s="187" t="str">
        <f>IF(Matrix!R25="","",Matrix!R25*100)</f>
        <v/>
      </c>
      <c r="R9" s="70">
        <f>IF(Matrix!T25="","",Matrix!T25)</f>
        <v>0</v>
      </c>
      <c r="S9" s="70" t="str">
        <f>IF(Matrix!U25="","",Matrix!U25)</f>
        <v/>
      </c>
      <c r="T9" s="70" t="str">
        <f>IF(Matrix!V25="","",Matrix!V25)</f>
        <v/>
      </c>
      <c r="U9" s="70" t="str">
        <f>IF(Matrix!W25="","",Matrix!W25)</f>
        <v/>
      </c>
      <c r="V9" s="70" t="str">
        <f>IF(Matrix!X25="","",Matrix!X25)</f>
        <v/>
      </c>
      <c r="W9" s="70" t="str">
        <f>IF(Matrix!Y25="","",Matrix!Y25)</f>
        <v/>
      </c>
      <c r="X9" s="70" t="str">
        <f>IF(Matrix!Z25="","",Matrix!Z25)</f>
        <v/>
      </c>
      <c r="Y9" s="70" t="str">
        <f>IF(Matrix!AA25="","",Matrix!AA25)</f>
        <v/>
      </c>
      <c r="Z9" s="70" t="str">
        <f>IF(Matrix!AB25="","",Matrix!AB25)</f>
        <v/>
      </c>
      <c r="AA9" s="70" t="str">
        <f>IF(Matrix!AC25="","",Matrix!AC25)</f>
        <v/>
      </c>
      <c r="AB9" s="70" t="str">
        <f>IF(Matrix!AD25="","",Matrix!AD25)</f>
        <v/>
      </c>
      <c r="AC9" s="70" t="str">
        <f>IF(Matrix!AE25="","",Matrix!AE25)</f>
        <v/>
      </c>
    </row>
    <row r="10" spans="1:29" x14ac:dyDescent="0.2">
      <c r="A10" s="125" t="str">
        <f>Matrix!A26</f>
        <v>nicht relevant</v>
      </c>
      <c r="B10" s="124">
        <f>Matrix!B26</f>
        <v>2021</v>
      </c>
      <c r="C10" s="70">
        <f>IF(Matrix!C26="","",Matrix!C26)</f>
        <v>0</v>
      </c>
      <c r="D10" s="70" t="str">
        <f>IF(Matrix!D26="","",Matrix!D26)</f>
        <v/>
      </c>
      <c r="E10" s="70" t="str">
        <f>IF(Matrix!E26="","",Matrix!E26)</f>
        <v/>
      </c>
      <c r="F10" s="70" t="str">
        <f>IF(Matrix!F26="","",Matrix!F26)</f>
        <v/>
      </c>
      <c r="G10" s="70" t="str">
        <f>IF(Matrix!G26="","",Matrix!G26)</f>
        <v/>
      </c>
      <c r="H10" s="70" t="str">
        <f>IF(Matrix!H26="","",Matrix!H26)</f>
        <v/>
      </c>
      <c r="I10" s="70" t="str">
        <f>IF(Matrix!I26="","",Matrix!I26)</f>
        <v/>
      </c>
      <c r="J10" s="70" t="str">
        <f>IF(Matrix!J26="","",Matrix!J26)</f>
        <v/>
      </c>
      <c r="K10" s="70" t="str">
        <f>IF(Matrix!K26="","",Matrix!K26)</f>
        <v/>
      </c>
      <c r="L10" s="70" t="str">
        <f>IF(Matrix!M26="","",Matrix!M26)</f>
        <v/>
      </c>
      <c r="M10" s="70">
        <f>IF(Matrix!N26="","",Matrix!N26)</f>
        <v>0</v>
      </c>
      <c r="N10" s="70" t="str">
        <f>IF(Matrix!O26="","",Matrix!O26)</f>
        <v/>
      </c>
      <c r="O10" s="70" t="str">
        <f>IF(Matrix!P26="","",Matrix!P26)</f>
        <v/>
      </c>
      <c r="P10" s="70">
        <f>IF(Matrix!Q26="","",Matrix!Q26)</f>
        <v>0</v>
      </c>
      <c r="Q10" s="187" t="str">
        <f>IF(Matrix!R26="","",Matrix!R26*100)</f>
        <v/>
      </c>
      <c r="R10" s="70">
        <f>IF(Matrix!T26="","",Matrix!T26)</f>
        <v>0</v>
      </c>
      <c r="S10" s="70" t="str">
        <f>IF(Matrix!U26="","",Matrix!U26)</f>
        <v/>
      </c>
      <c r="T10" s="70" t="str">
        <f>IF(Matrix!V26="","",Matrix!V26)</f>
        <v/>
      </c>
      <c r="U10" s="70" t="str">
        <f>IF(Matrix!W26="","",Matrix!W26)</f>
        <v/>
      </c>
      <c r="V10" s="70" t="str">
        <f>IF(Matrix!X26="","",Matrix!X26)</f>
        <v/>
      </c>
      <c r="W10" s="70" t="str">
        <f>IF(Matrix!Y26="","",Matrix!Y26)</f>
        <v/>
      </c>
      <c r="X10" s="70" t="str">
        <f>IF(Matrix!Z26="","",Matrix!Z26)</f>
        <v/>
      </c>
      <c r="Y10" s="70" t="str">
        <f>IF(Matrix!AA26="","",Matrix!AA26)</f>
        <v/>
      </c>
      <c r="Z10" s="70" t="str">
        <f>IF(Matrix!AB26="","",Matrix!AB26)</f>
        <v/>
      </c>
      <c r="AA10" s="70" t="str">
        <f>IF(Matrix!AC26="","",Matrix!AC26)</f>
        <v/>
      </c>
      <c r="AB10" s="70" t="str">
        <f>IF(Matrix!AD26="","",Matrix!AD26)</f>
        <v/>
      </c>
      <c r="AC10" s="70" t="str">
        <f>IF(Matrix!AE26="","",Matrix!AE26)</f>
        <v/>
      </c>
    </row>
    <row r="11" spans="1:29" x14ac:dyDescent="0.2">
      <c r="A11" s="125" t="str">
        <f>Matrix!A27</f>
        <v>nicht relevant</v>
      </c>
      <c r="B11" s="124">
        <f>Matrix!B27</f>
        <v>2022</v>
      </c>
      <c r="C11" s="70">
        <f>IF(Matrix!C27="","",Matrix!C27)</f>
        <v>0</v>
      </c>
      <c r="D11" s="70" t="str">
        <f>IF(Matrix!D27="","",Matrix!D27)</f>
        <v/>
      </c>
      <c r="E11" s="70" t="str">
        <f>IF(Matrix!E27="","",Matrix!E27)</f>
        <v/>
      </c>
      <c r="F11" s="70" t="str">
        <f>IF(Matrix!F27="","",Matrix!F27)</f>
        <v/>
      </c>
      <c r="G11" s="70" t="str">
        <f>IF(Matrix!G27="","",Matrix!G27)</f>
        <v/>
      </c>
      <c r="H11" s="70" t="str">
        <f>IF(Matrix!H27="","",Matrix!H27)</f>
        <v/>
      </c>
      <c r="I11" s="70" t="str">
        <f>IF(Matrix!I27="","",Matrix!I27)</f>
        <v/>
      </c>
      <c r="J11" s="70" t="str">
        <f>IF(Matrix!J27="","",Matrix!J27)</f>
        <v/>
      </c>
      <c r="K11" s="70" t="str">
        <f>IF(Matrix!K27="","",Matrix!K27)</f>
        <v/>
      </c>
      <c r="L11" s="70" t="str">
        <f>IF(Matrix!M27="","",Matrix!M27)</f>
        <v/>
      </c>
      <c r="M11" s="70">
        <f>IF(Matrix!N27="","",Matrix!N27)</f>
        <v>0</v>
      </c>
      <c r="N11" s="70" t="str">
        <f>IF(Matrix!O27="","",Matrix!O27)</f>
        <v/>
      </c>
      <c r="O11" s="70" t="str">
        <f>IF(Matrix!P27="","",Matrix!P27)</f>
        <v/>
      </c>
      <c r="P11" s="70">
        <f>IF(Matrix!Q27="","",Matrix!Q27)</f>
        <v>0</v>
      </c>
      <c r="Q11" s="187" t="str">
        <f>IF(Matrix!R27="","",Matrix!R27*100)</f>
        <v/>
      </c>
      <c r="R11" s="70">
        <f>IF(Matrix!T27="","",Matrix!T27)</f>
        <v>0</v>
      </c>
      <c r="S11" s="70" t="str">
        <f>IF(Matrix!U27="","",Matrix!U27)</f>
        <v/>
      </c>
      <c r="T11" s="70" t="str">
        <f>IF(Matrix!V27="","",Matrix!V27)</f>
        <v/>
      </c>
      <c r="U11" s="70" t="str">
        <f>IF(Matrix!W27="","",Matrix!W27)</f>
        <v/>
      </c>
      <c r="V11" s="70" t="str">
        <f>IF(Matrix!X27="","",Matrix!X27)</f>
        <v/>
      </c>
      <c r="W11" s="70" t="str">
        <f>IF(Matrix!Y27="","",Matrix!Y27)</f>
        <v/>
      </c>
      <c r="X11" s="70" t="str">
        <f>IF(Matrix!Z27="","",Matrix!Z27)</f>
        <v/>
      </c>
      <c r="Y11" s="70" t="str">
        <f>IF(Matrix!AA27="","",Matrix!AA27)</f>
        <v/>
      </c>
      <c r="Z11" s="70" t="str">
        <f>IF(Matrix!AB27="","",Matrix!AB27)</f>
        <v/>
      </c>
      <c r="AA11" s="70" t="str">
        <f>IF(Matrix!AC27="","",Matrix!AC27)</f>
        <v/>
      </c>
      <c r="AB11" s="70" t="str">
        <f>IF(Matrix!AD27="","",Matrix!AD27)</f>
        <v/>
      </c>
      <c r="AC11" s="70" t="str">
        <f>IF(Matrix!AE27="","",Matrix!AE27)</f>
        <v/>
      </c>
    </row>
    <row r="12" spans="1:29" x14ac:dyDescent="0.2">
      <c r="A12" s="125" t="str">
        <f>Matrix!A28</f>
        <v>nicht relevant</v>
      </c>
      <c r="B12" s="124" t="str">
        <f>LEFT(Matrix!B28,4)</f>
        <v>2023</v>
      </c>
      <c r="C12" s="70">
        <f>IF(Matrix!C28="","",Matrix!C28)</f>
        <v>0</v>
      </c>
      <c r="D12" s="70" t="str">
        <f>IF(Matrix!D28="","",Matrix!D28)</f>
        <v/>
      </c>
      <c r="E12" s="70" t="str">
        <f>IF(Matrix!E28="","",Matrix!E28)</f>
        <v/>
      </c>
      <c r="F12" s="70" t="str">
        <f>IF(Matrix!F28="","",Matrix!F28)</f>
        <v/>
      </c>
      <c r="G12" s="70" t="str">
        <f>IF(Matrix!G28="","",Matrix!G28)</f>
        <v/>
      </c>
      <c r="H12" s="70" t="str">
        <f>IF(Matrix!H28="","",Matrix!H28)</f>
        <v/>
      </c>
      <c r="I12" s="70" t="str">
        <f>IF(Matrix!I28="","",Matrix!I28)</f>
        <v/>
      </c>
      <c r="J12" s="70" t="str">
        <f>IF(Matrix!J28="","",Matrix!J28)</f>
        <v/>
      </c>
      <c r="K12" s="70" t="str">
        <f>IF(Matrix!K28="","",Matrix!K28)</f>
        <v/>
      </c>
      <c r="L12" s="239"/>
      <c r="M12" s="239"/>
      <c r="N12" s="239"/>
      <c r="O12" s="239"/>
      <c r="P12" s="239"/>
      <c r="Q12" s="240"/>
      <c r="R12" s="239"/>
      <c r="S12" s="239"/>
      <c r="T12" s="239"/>
      <c r="U12" s="239"/>
      <c r="V12" s="239"/>
      <c r="W12" s="239"/>
      <c r="X12" s="239"/>
      <c r="Y12" s="239"/>
      <c r="Z12" s="239"/>
      <c r="AA12" s="239"/>
      <c r="AB12" s="239"/>
      <c r="AC12" s="239"/>
    </row>
    <row r="13" spans="1:29" x14ac:dyDescent="0.2">
      <c r="A13" s="125" t="str">
        <f>Matrix!A29</f>
        <v>nicht relevant</v>
      </c>
      <c r="B13" s="124" t="str">
        <f>LEFT(Matrix!B29,4)</f>
        <v>2024</v>
      </c>
      <c r="C13" s="70">
        <f>IF(Matrix!C29="","",Matrix!C29)</f>
        <v>0</v>
      </c>
      <c r="D13" s="70" t="str">
        <f>IF(Matrix!D29="","",Matrix!D29)</f>
        <v/>
      </c>
      <c r="E13" s="70" t="str">
        <f>IF(Matrix!E29="","",Matrix!E29)</f>
        <v/>
      </c>
      <c r="F13" s="70" t="str">
        <f>IF(Matrix!F29="","",Matrix!F29)</f>
        <v/>
      </c>
      <c r="G13" s="70" t="str">
        <f>IF(Matrix!G29="","",Matrix!G29)</f>
        <v/>
      </c>
      <c r="H13" s="70" t="str">
        <f>IF(Matrix!H29="","",Matrix!H29)</f>
        <v/>
      </c>
      <c r="I13" s="70" t="str">
        <f>IF(Matrix!I29="","",Matrix!I29)</f>
        <v/>
      </c>
      <c r="J13" s="70" t="str">
        <f>IF(Matrix!J29="","",Matrix!J29)</f>
        <v/>
      </c>
      <c r="K13" s="70" t="str">
        <f>IF(Matrix!K29="","",Matrix!K29)</f>
        <v/>
      </c>
      <c r="L13" s="239"/>
      <c r="M13" s="239"/>
      <c r="N13" s="239"/>
      <c r="O13" s="239"/>
      <c r="P13" s="239"/>
      <c r="Q13" s="240"/>
      <c r="R13" s="239"/>
      <c r="S13" s="239"/>
      <c r="T13" s="239"/>
      <c r="U13" s="239"/>
      <c r="V13" s="239"/>
      <c r="W13" s="239"/>
      <c r="X13" s="239"/>
      <c r="Y13" s="239"/>
      <c r="Z13" s="239"/>
      <c r="AA13" s="239"/>
      <c r="AB13" s="239"/>
      <c r="AC13" s="239"/>
    </row>
    <row r="18" spans="10:10" x14ac:dyDescent="0.2">
      <c r="J18" s="186"/>
    </row>
  </sheetData>
  <phoneticPr fontId="34" type="noConversion"/>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S116"/>
  <sheetViews>
    <sheetView topLeftCell="A86" zoomScaleNormal="100" workbookViewId="0">
      <selection activeCell="E13" sqref="E13"/>
    </sheetView>
  </sheetViews>
  <sheetFormatPr baseColWidth="10" defaultColWidth="11.42578125" defaultRowHeight="11.25" x14ac:dyDescent="0.25"/>
  <cols>
    <col min="1" max="1" width="9.140625" style="71" customWidth="1"/>
    <col min="2" max="2" width="8" style="71" customWidth="1"/>
    <col min="3" max="3" width="9.140625" style="71" customWidth="1"/>
    <col min="4" max="4" width="27" style="71" customWidth="1"/>
    <col min="5" max="7" width="9.7109375" style="142" customWidth="1"/>
    <col min="8" max="8" width="42.7109375" style="71" customWidth="1"/>
    <col min="9" max="9" width="39.7109375" style="71" customWidth="1"/>
    <col min="10" max="10" width="5.7109375" style="89" customWidth="1"/>
    <col min="11" max="11" width="9.140625" style="71" customWidth="1"/>
    <col min="12" max="12" width="28.140625" style="89" customWidth="1"/>
    <col min="13" max="13" width="17.5703125" style="89" customWidth="1"/>
    <col min="14" max="14" width="21" style="89" customWidth="1"/>
    <col min="15" max="15" width="62.140625" style="71" customWidth="1"/>
    <col min="16" max="16" width="63.28515625" style="71" customWidth="1"/>
    <col min="17" max="256" width="9.140625" style="71" customWidth="1"/>
    <col min="257" max="16384" width="11.42578125" style="71"/>
  </cols>
  <sheetData>
    <row r="1" spans="1:19" s="28" customFormat="1" ht="23.25" thickBot="1" x14ac:dyDescent="0.3">
      <c r="A1" s="71"/>
      <c r="B1" s="71"/>
      <c r="C1" s="71"/>
      <c r="D1" s="71"/>
      <c r="E1" s="142"/>
      <c r="F1" s="142"/>
      <c r="G1" s="142"/>
      <c r="J1" s="107"/>
      <c r="L1" s="88" t="s">
        <v>493</v>
      </c>
      <c r="M1" s="88" t="s">
        <v>32</v>
      </c>
      <c r="N1" s="88" t="s">
        <v>40</v>
      </c>
      <c r="O1" s="88" t="s">
        <v>373</v>
      </c>
      <c r="P1" s="88" t="s">
        <v>4</v>
      </c>
    </row>
    <row r="2" spans="1:19" s="28" customFormat="1" x14ac:dyDescent="0.25">
      <c r="A2" s="121" t="str">
        <f>IF(Datenquelle!$F$3&gt;11,IF(Datenquelle!$F$3=12,"EZ",IF(Datenquelle!$F$3&gt;12,"relevant","?")),"nicht relevant")</f>
        <v>nicht relevant</v>
      </c>
      <c r="B2" s="81" t="s">
        <v>707</v>
      </c>
      <c r="C2" s="80"/>
      <c r="D2" s="128" t="s">
        <v>463</v>
      </c>
      <c r="E2" s="143" t="str">
        <f>IF(H2="","","2013")</f>
        <v/>
      </c>
      <c r="F2" s="144" t="str">
        <f>IF(H2="","","a")</f>
        <v/>
      </c>
      <c r="G2" s="144" t="str">
        <f t="shared" ref="G2:G11" si="0">IF(H2="","","1")</f>
        <v/>
      </c>
      <c r="H2" s="410" t="str">
        <f>IF(A2="relevant",IF(COUNTIF(Matrix!C18:AE18,"")&gt;2,Berechnung2!$L$35,""),"")</f>
        <v/>
      </c>
      <c r="I2" s="134" t="str">
        <f>IF(H2="","",VLOOKUP(F2,Berechnung2!$I$15:$J$25,2,FALSE))</f>
        <v/>
      </c>
      <c r="J2" s="133" t="str">
        <f t="shared" ref="J2:J11" si="1">IF(H2&lt;&gt;"",1,"")</f>
        <v/>
      </c>
      <c r="L2" s="55" t="str">
        <f t="array" aca="1" ref="L2" ca="1">IF(ROW()-ROW($F$2:$F$111)+1&gt;ROWS($E$2:$E$111)-COUNTBLANK($E$2:$E$111),"",INDIRECT(ADDRESS(SMALL((IF($E$2:$E$111&gt;"",ROW($E$2:$E$111),ROW()+ROWS($E$2:$E$111))),ROW()-ROW($F$2:$F$111)+1),COLUMN($E$2:$E$111),4)))</f>
        <v/>
      </c>
      <c r="M2" s="55" t="str">
        <f t="array" aca="1" ref="M2" ca="1">IF(ROW()-ROW($G$2:$G$111)+1&gt;ROWS($F$2:$F$111)-COUNTBLANK($F$2:$F$111),"",INDIRECT(ADDRESS(SMALL((IF($F$2:$F$111&lt;&gt;"",ROW($F$2:$F$111),ROW()+ROWS($F$2:$F$111))),ROW()-ROW($G$2:$G$111)+1),COLUMN($F$2:$F$111),4)))</f>
        <v/>
      </c>
      <c r="N2" s="55" t="str">
        <f t="array" aca="1" ref="N2" ca="1">IF(ROW()-ROW($H$2:$H$111)+1&gt;ROWS($G$2:$G$111)-COUNTBLANK($G$2:$G$111),"",INDIRECT(ADDRESS(SMALL((IF($G$2:$G$111&lt;&gt;"",ROW($G$2:$G$111),ROW()+ROWS($G$2:$G$111))),ROW()-ROW($H$2:$H$111)+1),COLUMN($G$2:$G$111),4)))</f>
        <v/>
      </c>
      <c r="O2" s="121" t="str">
        <f t="array" aca="1" ref="O2" ca="1">IF(ROW()-ROW($I$2:$I$111)+1&gt;ROWS($H$2:$H$111)-COUNTBLANK($H$2:$H$111),"",INDIRECT(ADDRESS(SMALL((IF($H$2:$H$111&lt;&gt;"",ROW($H$2:$H$111),ROW()+ROWS($H$2:$H$111))),ROW()-ROW($I$2:$I$111)+1),COLUMN($H$2:$H$111),4)))</f>
        <v/>
      </c>
      <c r="P2" s="121" t="str">
        <f t="array" aca="1" ref="P2" ca="1">IF(ROW()-ROW($J$2:$J$111)+1&gt;ROWS($I$2:$I$111)-COUNTBLANK($I$2:$I$111),"",INDIRECT(ADDRESS(SMALL((IF($I$2:$I$111&lt;&gt;"",ROW($I$2:$I$111),ROW()+ROWS($I$2:$I$111))),ROW()-ROW($J$2:$J$111)+1),COLUMN($I$2:$I$111),4)))</f>
        <v/>
      </c>
    </row>
    <row r="3" spans="1:19" s="28" customFormat="1" ht="11.25" customHeight="1" x14ac:dyDescent="0.25">
      <c r="A3" s="121" t="str">
        <f>IF(Datenquelle!$F$3&gt;10,IF(Datenquelle!$F$3=11,"EZ",IF(Datenquelle!$F$3&gt;11,"relevant","?")),"nicht relevant")</f>
        <v>nicht relevant</v>
      </c>
      <c r="B3" s="81" t="s">
        <v>803</v>
      </c>
      <c r="C3" s="80"/>
      <c r="D3" s="917" t="s">
        <v>642</v>
      </c>
      <c r="E3" s="145" t="str">
        <f>IF(H3="","","2014")</f>
        <v/>
      </c>
      <c r="F3" s="146" t="str">
        <f t="shared" ref="F3:F11" si="2">IF(H3="","","a")</f>
        <v/>
      </c>
      <c r="G3" s="146" t="str">
        <f t="shared" si="0"/>
        <v/>
      </c>
      <c r="H3" s="131" t="str">
        <f>IF(A3="relevant",IF(COUNTIF(Matrix!C19:AE19,"")&gt;2,Berechnung2!$L$35,""),"")</f>
        <v/>
      </c>
      <c r="I3" s="121" t="str">
        <f>IF(H3="","",VLOOKUP(F3,Berechnung2!$I$15:$J$25,2,FALSE))</f>
        <v/>
      </c>
      <c r="J3" s="132" t="str">
        <f t="shared" si="1"/>
        <v/>
      </c>
      <c r="L3" s="55" t="str">
        <f t="array" aca="1" ref="L3" ca="1">IF(ROW()-ROW($F$2:$F$111)+1&gt;ROWS($E$2:$E$111)-COUNTBLANK($E$2:$E$111),"",INDIRECT(ADDRESS(SMALL((IF($E$2:$E$111&gt;"",ROW($E$2:$E$111),ROW()+ROWS($E$2:$E$111))),ROW()-ROW($F$2:$F$111)+1),COLUMN($E$2:$E$111),4)))</f>
        <v/>
      </c>
      <c r="M3" s="55" t="str">
        <f t="array" aca="1" ref="M3" ca="1">IF(ROW()-ROW($G$2:$G$111)+1&gt;ROWS($F$2:$F$111)-COUNTBLANK($F$2:$F$111),"",INDIRECT(ADDRESS(SMALL((IF($F$2:$F$111&lt;&gt;"",ROW($F$2:$F$111),ROW()+ROWS($F$2:$F$111))),ROW()-ROW($G$2:$G$111)+1),COLUMN($F$2:$F$111),4)))</f>
        <v/>
      </c>
      <c r="N3" s="55" t="str">
        <f t="array" aca="1" ref="N3" ca="1">IF(ROW()-ROW($H$2:$H$111)+1&gt;ROWS($G$2:$G$111)-COUNTBLANK($G$2:$G$111),"",INDIRECT(ADDRESS(SMALL((IF($G$2:$G$111&lt;&gt;"",ROW($G$2:$G$111),ROW()+ROWS($G$2:$G$111))),ROW()-ROW($H$2:$H$111)+1),COLUMN($G$2:$G$111),4)))</f>
        <v/>
      </c>
      <c r="O3" s="121" t="str">
        <f t="array" aca="1" ref="O3" ca="1">IF(ROW()-ROW($I$2:$I$111)+1&gt;ROWS($H$2:$H$111)-COUNTBLANK($H$2:$H$111),"",INDIRECT(ADDRESS(SMALL((IF($H$2:$H$111&lt;&gt;"",ROW($H$2:$H$111),ROW()+ROWS($H$2:$H$111))),ROW()-ROW($I$2:$I$111)+1),COLUMN($H$2:$H$111),4)))</f>
        <v/>
      </c>
      <c r="P3" s="121" t="str">
        <f t="array" aca="1" ref="P3" ca="1">IF(ROW()-ROW($J$2:$J$111)+1&gt;ROWS($I$2:$I$111)-COUNTBLANK($I$2:$I$111),"",INDIRECT(ADDRESS(SMALL((IF($I$2:$I$111&lt;&gt;"",ROW($I$2:$I$111),ROW()+ROWS($I$2:$I$111))),ROW()-ROW($J$2:$J$111)+1),COLUMN($I$2:$I$111),4)))</f>
        <v/>
      </c>
    </row>
    <row r="4" spans="1:19" s="28" customFormat="1" ht="15.95" customHeight="1" x14ac:dyDescent="0.25">
      <c r="A4" s="121" t="str">
        <f>IF(Datenquelle!$F$3&gt;9,IF(Datenquelle!$F$3=10,"EZ",IF(Datenquelle!$F$3&gt;10,"relevant","?")),"nicht relevant")</f>
        <v>nicht relevant</v>
      </c>
      <c r="B4" s="81" t="s">
        <v>850</v>
      </c>
      <c r="C4" s="80"/>
      <c r="D4" s="917"/>
      <c r="E4" s="145" t="str">
        <f>IF(H4="","","2015")</f>
        <v/>
      </c>
      <c r="F4" s="146" t="str">
        <f t="shared" si="2"/>
        <v/>
      </c>
      <c r="G4" s="146" t="str">
        <f t="shared" si="0"/>
        <v/>
      </c>
      <c r="H4" s="131" t="str">
        <f>IF(A4="relevant",IF(COUNTIF(Matrix!C20:AE20,"")&gt;2,Berechnung2!$L$35,""),"")</f>
        <v/>
      </c>
      <c r="I4" s="121" t="str">
        <f>IF(H4="","",VLOOKUP(F4,Berechnung2!$I$15:$J$25,2,FALSE))</f>
        <v/>
      </c>
      <c r="J4" s="132" t="str">
        <f t="shared" si="1"/>
        <v/>
      </c>
      <c r="L4" s="55" t="str">
        <f t="array" aca="1" ref="L4" ca="1">IF(ROW()-ROW($F$2:$F$111)+1&gt;ROWS($E$2:$E$111)-COUNTBLANK($E$2:$E$111),"",INDIRECT(ADDRESS(SMALL((IF($E$2:$E$111&gt;"",ROW($E$2:$E$111),ROW()+ROWS($E$2:$E$111))),ROW()-ROW($F$2:$F$111)+1),COLUMN($E$2:$E$111),4)))</f>
        <v/>
      </c>
      <c r="M4" s="55" t="str">
        <f t="array" aca="1" ref="M4" ca="1">IF(ROW()-ROW($G$2:$G$111)+1&gt;ROWS($F$2:$F$111)-COUNTBLANK($F$2:$F$111),"",INDIRECT(ADDRESS(SMALL((IF($F$2:$F$111&lt;&gt;"",ROW($F$2:$F$111),ROW()+ROWS($F$2:$F$111))),ROW()-ROW($G$2:$G$111)+1),COLUMN($F$2:$F$111),4)))</f>
        <v/>
      </c>
      <c r="N4" s="55" t="str">
        <f t="array" aca="1" ref="N4" ca="1">IF(ROW()-ROW($H$2:$H$111)+1&gt;ROWS($G$2:$G$111)-COUNTBLANK($G$2:$G$111),"",INDIRECT(ADDRESS(SMALL((IF($G$2:$G$111&lt;&gt;"",ROW($G$2:$G$111),ROW()+ROWS($G$2:$G$111))),ROW()-ROW($H$2:$H$111)+1),COLUMN($G$2:$G$111),4)))</f>
        <v/>
      </c>
      <c r="O4" s="121" t="str">
        <f t="array" aca="1" ref="O4" ca="1">IF(ROW()-ROW($I$2:$I$111)+1&gt;ROWS($H$2:$H$111)-COUNTBLANK($H$2:$H$111),"",INDIRECT(ADDRESS(SMALL((IF($H$2:$H$111&lt;&gt;"",ROW($H$2:$H$111),ROW()+ROWS($H$2:$H$111))),ROW()-ROW($I$2:$I$111)+1),COLUMN($H$2:$H$111),4)))</f>
        <v/>
      </c>
      <c r="P4" s="121" t="str">
        <f t="array" aca="1" ref="P4" ca="1">IF(ROW()-ROW($J$2:$J$111)+1&gt;ROWS($I$2:$I$111)-COUNTBLANK($I$2:$I$111),"",INDIRECT(ADDRESS(SMALL((IF($I$2:$I$111&lt;&gt;"",ROW($I$2:$I$111),ROW()+ROWS($I$2:$I$111))),ROW()-ROW($J$2:$J$111)+1),COLUMN($I$2:$I$111),4)))</f>
        <v/>
      </c>
    </row>
    <row r="5" spans="1:19" s="28" customFormat="1" ht="15.95" customHeight="1" x14ac:dyDescent="0.25">
      <c r="A5" s="121" t="str">
        <f>IF(Datenquelle!$F$3&gt;8,IF(Datenquelle!$F$3=9,"EZ",IF(Datenquelle!$F$3&gt;9,"relevant","?")),"nicht relevant")</f>
        <v>nicht relevant</v>
      </c>
      <c r="B5" s="81" t="s">
        <v>893</v>
      </c>
      <c r="C5" s="80"/>
      <c r="D5" s="917"/>
      <c r="E5" s="145" t="str">
        <f>IF(H5="","","2016")</f>
        <v/>
      </c>
      <c r="F5" s="146" t="str">
        <f t="shared" si="2"/>
        <v/>
      </c>
      <c r="G5" s="146" t="str">
        <f t="shared" si="0"/>
        <v/>
      </c>
      <c r="H5" s="131" t="str">
        <f>IF(A5="relevant",IF(COUNTIF(Matrix!C21:AE21,"")&gt;2,Berechnung2!$L$35,""),"")</f>
        <v/>
      </c>
      <c r="I5" s="121" t="str">
        <f>IF(H5="","",VLOOKUP(F5,Berechnung2!$I$15:$J$25,2,FALSE))</f>
        <v/>
      </c>
      <c r="J5" s="132" t="str">
        <f t="shared" si="1"/>
        <v/>
      </c>
      <c r="L5" s="55" t="str">
        <f t="array" aca="1" ref="L5" ca="1">IF(ROW()-ROW($F$2:$F$111)+1&gt;ROWS($E$2:$E$111)-COUNTBLANK($E$2:$E$111),"",INDIRECT(ADDRESS(SMALL((IF($E$2:$E$111&gt;"",ROW($E$2:$E$111),ROW()+ROWS($E$2:$E$111))),ROW()-ROW($F$2:$F$111)+1),COLUMN($E$2:$E$111),4)))</f>
        <v/>
      </c>
      <c r="M5" s="55" t="str">
        <f t="array" aca="1" ref="M5" ca="1">IF(ROW()-ROW($G$2:$G$111)+1&gt;ROWS($F$2:$F$111)-COUNTBLANK($F$2:$F$111),"",INDIRECT(ADDRESS(SMALL((IF($F$2:$F$111&lt;&gt;"",ROW($F$2:$F$111),ROW()+ROWS($F$2:$F$111))),ROW()-ROW($G$2:$G$111)+1),COLUMN($F$2:$F$111),4)))</f>
        <v/>
      </c>
      <c r="N5" s="55" t="str">
        <f t="array" aca="1" ref="N5" ca="1">IF(ROW()-ROW($H$2:$H$111)+1&gt;ROWS($G$2:$G$111)-COUNTBLANK($G$2:$G$111),"",INDIRECT(ADDRESS(SMALL((IF($G$2:$G$111&lt;&gt;"",ROW($G$2:$G$111),ROW()+ROWS($G$2:$G$111))),ROW()-ROW($H$2:$H$111)+1),COLUMN($G$2:$G$111),4)))</f>
        <v/>
      </c>
      <c r="O5" s="121" t="str">
        <f t="array" aca="1" ref="O5" ca="1">IF(ROW()-ROW($I$2:$I$111)+1&gt;ROWS($H$2:$H$111)-COUNTBLANK($H$2:$H$111),"",INDIRECT(ADDRESS(SMALL((IF($H$2:$H$111&lt;&gt;"",ROW($H$2:$H$111),ROW()+ROWS($H$2:$H$111))),ROW()-ROW($I$2:$I$111)+1),COLUMN($H$2:$H$111),4)))</f>
        <v/>
      </c>
      <c r="P5" s="121" t="str">
        <f t="array" aca="1" ref="P5" ca="1">IF(ROW()-ROW($J$2:$J$111)+1&gt;ROWS($I$2:$I$111)-COUNTBLANK($I$2:$I$111),"",INDIRECT(ADDRESS(SMALL((IF($I$2:$I$111&lt;&gt;"",ROW($I$2:$I$111),ROW()+ROWS($I$2:$I$111))),ROW()-ROW($J$2:$J$111)+1),COLUMN($I$2:$I$111),4)))</f>
        <v/>
      </c>
    </row>
    <row r="6" spans="1:19" s="28" customFormat="1" ht="15.95" customHeight="1" x14ac:dyDescent="0.25">
      <c r="A6" s="121" t="str">
        <f>IF(Datenquelle!$F$3&gt;7,IF(Datenquelle!$F$3=8,"EZ",IF(Datenquelle!$F$3&gt;8,"relevant","?")),"nicht relevant")</f>
        <v>nicht relevant</v>
      </c>
      <c r="B6" s="81" t="s">
        <v>1052</v>
      </c>
      <c r="C6" s="80"/>
      <c r="D6" s="917"/>
      <c r="E6" s="145" t="str">
        <f>IF(H6="","","2017")</f>
        <v/>
      </c>
      <c r="F6" s="146" t="str">
        <f t="shared" si="2"/>
        <v/>
      </c>
      <c r="G6" s="146" t="str">
        <f t="shared" si="0"/>
        <v/>
      </c>
      <c r="H6" s="131" t="str">
        <f>IF(A6="relevant",IF(COUNTIF(Matrix!C22:AE22,"")&gt;2,Berechnung2!$L$35,""),"")</f>
        <v/>
      </c>
      <c r="I6" s="121" t="str">
        <f>IF(H6="","",VLOOKUP(F6,Berechnung2!$I$15:$J$25,2,FALSE))</f>
        <v/>
      </c>
      <c r="J6" s="132" t="str">
        <f t="shared" si="1"/>
        <v/>
      </c>
      <c r="L6" s="55" t="str">
        <f t="array" aca="1" ref="L6" ca="1">IF(ROW()-ROW($F$2:$F$111)+1&gt;ROWS($E$2:$E$111)-COUNTBLANK($E$2:$E$111),"",INDIRECT(ADDRESS(SMALL((IF($E$2:$E$111&gt;"",ROW($E$2:$E$111),ROW()+ROWS($E$2:$E$111))),ROW()-ROW($F$2:$F$111)+1),COLUMN($E$2:$E$111),4)))</f>
        <v/>
      </c>
      <c r="M6" s="55" t="str">
        <f t="array" aca="1" ref="M6" ca="1">IF(ROW()-ROW($G$2:$G$111)+1&gt;ROWS($F$2:$F$111)-COUNTBLANK($F$2:$F$111),"",INDIRECT(ADDRESS(SMALL((IF($F$2:$F$111&lt;&gt;"",ROW($F$2:$F$111),ROW()+ROWS($F$2:$F$111))),ROW()-ROW($G$2:$G$111)+1),COLUMN($F$2:$F$111),4)))</f>
        <v/>
      </c>
      <c r="N6" s="55" t="str">
        <f t="array" aca="1" ref="N6" ca="1">IF(ROW()-ROW($H$2:$H$111)+1&gt;ROWS($G$2:$G$111)-COUNTBLANK($G$2:$G$111),"",INDIRECT(ADDRESS(SMALL((IF($G$2:$G$111&lt;&gt;"",ROW($G$2:$G$111),ROW()+ROWS($G$2:$G$111))),ROW()-ROW($H$2:$H$111)+1),COLUMN($G$2:$G$111),4)))</f>
        <v/>
      </c>
      <c r="O6" s="121" t="str">
        <f t="array" aca="1" ref="O6" ca="1">IF(ROW()-ROW($I$2:$I$111)+1&gt;ROWS($H$2:$H$111)-COUNTBLANK($H$2:$H$111),"",INDIRECT(ADDRESS(SMALL((IF($H$2:$H$111&lt;&gt;"",ROW($H$2:$H$111),ROW()+ROWS($H$2:$H$111))),ROW()-ROW($I$2:$I$111)+1),COLUMN($H$2:$H$111),4)))</f>
        <v/>
      </c>
      <c r="P6" s="121" t="str">
        <f t="array" aca="1" ref="P6" ca="1">IF(ROW()-ROW($J$2:$J$111)+1&gt;ROWS($I$2:$I$111)-COUNTBLANK($I$2:$I$111),"",INDIRECT(ADDRESS(SMALL((IF($I$2:$I$111&lt;&gt;"",ROW($I$2:$I$111),ROW()+ROWS($I$2:$I$111))),ROW()-ROW($J$2:$J$111)+1),COLUMN($I$2:$I$111),4)))</f>
        <v/>
      </c>
    </row>
    <row r="7" spans="1:19" s="28" customFormat="1" ht="15.95" customHeight="1" x14ac:dyDescent="0.25">
      <c r="A7" s="121" t="str">
        <f>IF(Datenquelle!$F$3&gt;6,IF(Datenquelle!$F$3=7,"EZ",IF(Datenquelle!$F$3&gt;7,"relevant","?")),"nicht relevant")</f>
        <v>nicht relevant</v>
      </c>
      <c r="B7" s="81" t="s">
        <v>1094</v>
      </c>
      <c r="C7" s="80"/>
      <c r="D7" s="917"/>
      <c r="E7" s="145" t="str">
        <f>IF(H7="","","2018")</f>
        <v/>
      </c>
      <c r="F7" s="146" t="str">
        <f t="shared" si="2"/>
        <v/>
      </c>
      <c r="G7" s="146" t="str">
        <f t="shared" si="0"/>
        <v/>
      </c>
      <c r="H7" s="131" t="str">
        <f>IF(A7="relevant",IF(COUNTIF(Matrix!C23:AE23,"")&gt;2,Berechnung2!$L$35,""),"")</f>
        <v/>
      </c>
      <c r="I7" s="121" t="str">
        <f>IF(H7="","",VLOOKUP(F7,Berechnung2!$I$15:$J$25,2,FALSE))</f>
        <v/>
      </c>
      <c r="J7" s="132" t="str">
        <f t="shared" si="1"/>
        <v/>
      </c>
      <c r="L7" s="55" t="str">
        <f t="array" aca="1" ref="L7" ca="1">IF(ROW()-ROW($F$2:$F$111)+1&gt;ROWS($E$2:$E$111)-COUNTBLANK($E$2:$E$111),"",INDIRECT(ADDRESS(SMALL((IF($E$2:$E$111&gt;"",ROW($E$2:$E$111),ROW()+ROWS($E$2:$E$111))),ROW()-ROW($F$2:$F$111)+1),COLUMN($E$2:$E$111),4)))</f>
        <v/>
      </c>
      <c r="M7" s="55" t="str">
        <f t="array" aca="1" ref="M7" ca="1">IF(ROW()-ROW($G$2:$G$111)+1&gt;ROWS($F$2:$F$111)-COUNTBLANK($F$2:$F$111),"",INDIRECT(ADDRESS(SMALL((IF($F$2:$F$111&lt;&gt;"",ROW($F$2:$F$111),ROW()+ROWS($F$2:$F$111))),ROW()-ROW($G$2:$G$111)+1),COLUMN($F$2:$F$111),4)))</f>
        <v/>
      </c>
      <c r="N7" s="55" t="str">
        <f t="array" aca="1" ref="N7" ca="1">IF(ROW()-ROW($H$2:$H$111)+1&gt;ROWS($G$2:$G$111)-COUNTBLANK($G$2:$G$111),"",INDIRECT(ADDRESS(SMALL((IF($G$2:$G$111&lt;&gt;"",ROW($G$2:$G$111),ROW()+ROWS($G$2:$G$111))),ROW()-ROW($H$2:$H$111)+1),COLUMN($G$2:$G$111),4)))</f>
        <v/>
      </c>
      <c r="O7" s="121" t="str">
        <f t="array" aca="1" ref="O7" ca="1">IF(ROW()-ROW($I$2:$I$111)+1&gt;ROWS($H$2:$H$111)-COUNTBLANK($H$2:$H$111),"",INDIRECT(ADDRESS(SMALL((IF($H$2:$H$111&lt;&gt;"",ROW($H$2:$H$111),ROW()+ROWS($H$2:$H$111))),ROW()-ROW($I$2:$I$111)+1),COLUMN($H$2:$H$111),4)))</f>
        <v/>
      </c>
      <c r="P7" s="121" t="str">
        <f t="array" aca="1" ref="P7" ca="1">IF(ROW()-ROW($J$2:$J$111)+1&gt;ROWS($I$2:$I$111)-COUNTBLANK($I$2:$I$111),"",INDIRECT(ADDRESS(SMALL((IF($I$2:$I$111&lt;&gt;"",ROW($I$2:$I$111),ROW()+ROWS($I$2:$I$111))),ROW()-ROW($J$2:$J$111)+1),COLUMN($I$2:$I$111),4)))</f>
        <v/>
      </c>
    </row>
    <row r="8" spans="1:19" s="28" customFormat="1" ht="15.95" customHeight="1" x14ac:dyDescent="0.25">
      <c r="A8" s="121" t="str">
        <f>IF(Datenquelle!$F$3&gt;5,IF(Datenquelle!$F$3=6,"EZ",IF(Datenquelle!$F$3&gt;6,"relevant","?")),"nicht relevant")</f>
        <v>nicht relevant</v>
      </c>
      <c r="B8" s="81" t="s">
        <v>1145</v>
      </c>
      <c r="C8" s="80"/>
      <c r="D8" s="917"/>
      <c r="E8" s="145" t="str">
        <f>IF(H8="","","2019")</f>
        <v/>
      </c>
      <c r="F8" s="146" t="str">
        <f t="shared" si="2"/>
        <v/>
      </c>
      <c r="G8" s="146" t="str">
        <f t="shared" si="0"/>
        <v/>
      </c>
      <c r="H8" s="131" t="str">
        <f>IF(A8="relevant",IF(COUNTIF(Matrix!C24:AE24,"")&gt;2,Berechnung2!$L$35,""),"")</f>
        <v/>
      </c>
      <c r="I8" s="121" t="str">
        <f>IF(H8="","",VLOOKUP(F8,Berechnung2!$I$15:$J$25,2,FALSE))</f>
        <v/>
      </c>
      <c r="J8" s="132" t="str">
        <f t="shared" si="1"/>
        <v/>
      </c>
      <c r="L8" s="55" t="str">
        <f t="array" aca="1" ref="L8" ca="1">IF(ROW()-ROW($F$2:$F$111)+1&gt;ROWS($E$2:$E$111)-COUNTBLANK($E$2:$E$111),"",INDIRECT(ADDRESS(SMALL((IF($E$2:$E$111&gt;"",ROW($E$2:$E$111),ROW()+ROWS($E$2:$E$111))),ROW()-ROW($F$2:$F$111)+1),COLUMN($E$2:$E$111),4)))</f>
        <v/>
      </c>
      <c r="M8" s="55" t="str">
        <f t="array" aca="1" ref="M8" ca="1">IF(ROW()-ROW($G$2:$G$111)+1&gt;ROWS($F$2:$F$111)-COUNTBLANK($F$2:$F$111),"",INDIRECT(ADDRESS(SMALL((IF($F$2:$F$111&lt;&gt;"",ROW($F$2:$F$111),ROW()+ROWS($F$2:$F$111))),ROW()-ROW($G$2:$G$111)+1),COLUMN($F$2:$F$111),4)))</f>
        <v/>
      </c>
      <c r="N8" s="55" t="str">
        <f t="array" aca="1" ref="N8" ca="1">IF(ROW()-ROW($H$2:$H$111)+1&gt;ROWS($G$2:$G$111)-COUNTBLANK($G$2:$G$111),"",INDIRECT(ADDRESS(SMALL((IF($G$2:$G$111&lt;&gt;"",ROW($G$2:$G$111),ROW()+ROWS($G$2:$G$111))),ROW()-ROW($H$2:$H$111)+1),COLUMN($G$2:$G$111),4)))</f>
        <v/>
      </c>
      <c r="O8" s="121" t="str">
        <f t="array" aca="1" ref="O8" ca="1">IF(ROW()-ROW($I$2:$I$111)+1&gt;ROWS($H$2:$H$111)-COUNTBLANK($H$2:$H$111),"",INDIRECT(ADDRESS(SMALL((IF($H$2:$H$111&lt;&gt;"",ROW($H$2:$H$111),ROW()+ROWS($H$2:$H$111))),ROW()-ROW($I$2:$I$111)+1),COLUMN($H$2:$H$111),4)))</f>
        <v/>
      </c>
      <c r="P8" s="121" t="str">
        <f t="array" aca="1" ref="P8" ca="1">IF(ROW()-ROW($J$2:$J$111)+1&gt;ROWS($I$2:$I$111)-COUNTBLANK($I$2:$I$111),"",INDIRECT(ADDRESS(SMALL((IF($I$2:$I$111&lt;&gt;"",ROW($I$2:$I$111),ROW()+ROWS($I$2:$I$111))),ROW()-ROW($J$2:$J$111)+1),COLUMN($I$2:$I$111),4)))</f>
        <v/>
      </c>
    </row>
    <row r="9" spans="1:19" s="28" customFormat="1" ht="15.95" customHeight="1" x14ac:dyDescent="0.25">
      <c r="A9" s="121" t="str">
        <f>IF(Datenquelle!$F$3&gt;4,IF(Datenquelle!$F$3=5,"EZ",IF(Datenquelle!$F$3&gt;5,"relevant","?")),"nicht relevant")</f>
        <v>nicht relevant</v>
      </c>
      <c r="B9" s="81" t="s">
        <v>1226</v>
      </c>
      <c r="C9" s="80"/>
      <c r="D9" s="917"/>
      <c r="E9" s="145" t="str">
        <f>IF(H9="","","2020")</f>
        <v/>
      </c>
      <c r="F9" s="146" t="str">
        <f t="shared" si="2"/>
        <v/>
      </c>
      <c r="G9" s="146" t="str">
        <f t="shared" si="0"/>
        <v/>
      </c>
      <c r="H9" s="131" t="str">
        <f>IF(A9="relevant",IF(COUNTIF(Matrix!C25:AE25,"")&gt;2,Berechnung2!$L$35,""),"")</f>
        <v/>
      </c>
      <c r="I9" s="121" t="str">
        <f>IF(H9="","",VLOOKUP(F9,Berechnung2!$I$15:$J$25,2,FALSE))</f>
        <v/>
      </c>
      <c r="J9" s="132" t="str">
        <f t="shared" si="1"/>
        <v/>
      </c>
      <c r="L9" s="55" t="str">
        <f t="array" aca="1" ref="L9" ca="1">IF(ROW()-ROW($F$2:$F$111)+1&gt;ROWS($E$2:$E$111)-COUNTBLANK($E$2:$E$111),"",INDIRECT(ADDRESS(SMALL((IF($E$2:$E$111&gt;"",ROW($E$2:$E$111),ROW()+ROWS($E$2:$E$111))),ROW()-ROW($F$2:$F$111)+1),COLUMN($E$2:$E$111),4)))</f>
        <v/>
      </c>
      <c r="M9" s="55" t="str">
        <f t="array" aca="1" ref="M9" ca="1">IF(ROW()-ROW($G$2:$G$111)+1&gt;ROWS($F$2:$F$111)-COUNTBLANK($F$2:$F$111),"",INDIRECT(ADDRESS(SMALL((IF($F$2:$F$111&lt;&gt;"",ROW($F$2:$F$111),ROW()+ROWS($F$2:$F$111))),ROW()-ROW($G$2:$G$111)+1),COLUMN($F$2:$F$111),4)))</f>
        <v/>
      </c>
      <c r="N9" s="55" t="str">
        <f t="array" aca="1" ref="N9" ca="1">IF(ROW()-ROW($H$2:$H$111)+1&gt;ROWS($G$2:$G$111)-COUNTBLANK($G$2:$G$111),"",INDIRECT(ADDRESS(SMALL((IF($G$2:$G$111&lt;&gt;"",ROW($G$2:$G$111),ROW()+ROWS($G$2:$G$111))),ROW()-ROW($H$2:$H$111)+1),COLUMN($G$2:$G$111),4)))</f>
        <v/>
      </c>
      <c r="O9" s="121" t="str">
        <f t="array" aca="1" ref="O9" ca="1">IF(ROW()-ROW($I$2:$I$111)+1&gt;ROWS($H$2:$H$111)-COUNTBLANK($H$2:$H$111),"",INDIRECT(ADDRESS(SMALL((IF($H$2:$H$111&lt;&gt;"",ROW($H$2:$H$111),ROW()+ROWS($H$2:$H$111))),ROW()-ROW($I$2:$I$111)+1),COLUMN($H$2:$H$111),4)))</f>
        <v/>
      </c>
      <c r="P9" s="121" t="str">
        <f t="array" aca="1" ref="P9" ca="1">IF(ROW()-ROW($J$2:$J$111)+1&gt;ROWS($I$2:$I$111)-COUNTBLANK($I$2:$I$111),"",INDIRECT(ADDRESS(SMALL((IF($I$2:$I$111&lt;&gt;"",ROW($I$2:$I$111),ROW()+ROWS($I$2:$I$111))),ROW()-ROW($J$2:$J$111)+1),COLUMN($I$2:$I$111),4)))</f>
        <v/>
      </c>
      <c r="Q9" s="71"/>
      <c r="R9" s="71"/>
      <c r="S9" s="71"/>
    </row>
    <row r="10" spans="1:19" s="28" customFormat="1" ht="15.95" customHeight="1" x14ac:dyDescent="0.25">
      <c r="A10" s="121" t="str">
        <f>IF(Datenquelle!$F$3&gt;3,IF(Datenquelle!$F$3=4,"EZ",IF(Datenquelle!$F$3&gt;4,"relevant","?")),"nicht relevant")</f>
        <v>nicht relevant</v>
      </c>
      <c r="B10" s="81" t="s">
        <v>1053</v>
      </c>
      <c r="D10" s="917"/>
      <c r="E10" s="145" t="str">
        <f>IF(H10="","","2021")</f>
        <v/>
      </c>
      <c r="F10" s="146" t="str">
        <f t="shared" si="2"/>
        <v/>
      </c>
      <c r="G10" s="146" t="str">
        <f t="shared" si="0"/>
        <v/>
      </c>
      <c r="H10" s="131" t="str">
        <f>IF(A10="relevant",IF(COUNTIF(Matrix!C26:AE26,"")&gt;2,Berechnung2!$L$35,""),"")</f>
        <v/>
      </c>
      <c r="I10" s="121" t="str">
        <f>IF(H10="","",VLOOKUP(F10,Berechnung2!$I$15:$J$25,2,FALSE))</f>
        <v/>
      </c>
      <c r="J10" s="132" t="str">
        <f t="shared" si="1"/>
        <v/>
      </c>
      <c r="L10" s="55" t="str">
        <f t="array" aca="1" ref="L10" ca="1">IF(ROW()-ROW($F$2:$F$111)+1&gt;ROWS($E$2:$E$111)-COUNTBLANK($E$2:$E$111),"",INDIRECT(ADDRESS(SMALL((IF($E$2:$E$111&gt;"",ROW($E$2:$E$111),ROW()+ROWS($E$2:$E$111))),ROW()-ROW($F$2:$F$111)+1),COLUMN($E$2:$E$111),4)))</f>
        <v/>
      </c>
      <c r="M10" s="55" t="str">
        <f t="array" aca="1" ref="M10" ca="1">IF(ROW()-ROW($G$2:$G$111)+1&gt;ROWS($F$2:$F$111)-COUNTBLANK($F$2:$F$111),"",INDIRECT(ADDRESS(SMALL((IF($F$2:$F$111&lt;&gt;"",ROW($F$2:$F$111),ROW()+ROWS($F$2:$F$111))),ROW()-ROW($G$2:$G$111)+1),COLUMN($F$2:$F$111),4)))</f>
        <v/>
      </c>
      <c r="N10" s="55" t="str">
        <f t="array" aca="1" ref="N10" ca="1">IF(ROW()-ROW($H$2:$H$111)+1&gt;ROWS($G$2:$G$111)-COUNTBLANK($G$2:$G$111),"",INDIRECT(ADDRESS(SMALL((IF($G$2:$G$111&lt;&gt;"",ROW($G$2:$G$111),ROW()+ROWS($G$2:$G$111))),ROW()-ROW($H$2:$H$111)+1),COLUMN($G$2:$G$111),4)))</f>
        <v/>
      </c>
      <c r="O10" s="121" t="str">
        <f t="array" aca="1" ref="O10" ca="1">IF(ROW()-ROW($I$2:$I$111)+1&gt;ROWS($H$2:$H$111)-COUNTBLANK($H$2:$H$111),"",INDIRECT(ADDRESS(SMALL((IF($H$2:$H$111&lt;&gt;"",ROW($H$2:$H$111),ROW()+ROWS($H$2:$H$111))),ROW()-ROW($I$2:$I$111)+1),COLUMN($H$2:$H$111),4)))</f>
        <v/>
      </c>
      <c r="P10" s="121" t="str">
        <f t="array" aca="1" ref="P10" ca="1">IF(ROW()-ROW($J$2:$J$111)+1&gt;ROWS($I$2:$I$111)-COUNTBLANK($I$2:$I$111),"",INDIRECT(ADDRESS(SMALL((IF($I$2:$I$111&lt;&gt;"",ROW($I$2:$I$111),ROW()+ROWS($I$2:$I$111))),ROW()-ROW($J$2:$J$111)+1),COLUMN($I$2:$I$111),4)))</f>
        <v/>
      </c>
    </row>
    <row r="11" spans="1:19" s="28" customFormat="1" ht="15.95" customHeight="1" x14ac:dyDescent="0.25">
      <c r="A11" s="121" t="str">
        <f>IF(Datenquelle!$F$3&gt;2,IF(Datenquelle!$F$3=3,"EZ",IF(Datenquelle!$F$3&gt;3,"relevant","?")),"nicht relevant")</f>
        <v>nicht relevant</v>
      </c>
      <c r="B11" s="81" t="s">
        <v>1095</v>
      </c>
      <c r="D11" s="917"/>
      <c r="E11" s="145" t="str">
        <f>IF(H11="","","2022")</f>
        <v/>
      </c>
      <c r="F11" s="146" t="str">
        <f t="shared" si="2"/>
        <v/>
      </c>
      <c r="G11" s="146" t="str">
        <f t="shared" si="0"/>
        <v/>
      </c>
      <c r="H11" s="131" t="str">
        <f>IF(A11="relevant",IF(COUNTIF(Matrix!C27:AE27,"")&gt;2,Berechnung2!$L$35,""),"")</f>
        <v/>
      </c>
      <c r="I11" s="121" t="str">
        <f>IF(H11="","",VLOOKUP(F11,Berechnung2!$I$15:$J$25,2,FALSE))</f>
        <v/>
      </c>
      <c r="J11" s="132" t="str">
        <f t="shared" si="1"/>
        <v/>
      </c>
      <c r="L11" s="55" t="str">
        <f t="array" aca="1" ref="L11" ca="1">IF(ROW()-ROW($F$2:$F$111)+1&gt;ROWS($E$2:$E$111)-COUNTBLANK($E$2:$E$111),"",INDIRECT(ADDRESS(SMALL((IF($E$2:$E$111&gt;"",ROW($E$2:$E$111),ROW()+ROWS($E$2:$E$111))),ROW()-ROW($F$2:$F$111)+1),COLUMN($E$2:$E$111),4)))</f>
        <v/>
      </c>
      <c r="M11" s="55" t="str">
        <f t="array" aca="1" ref="M11" ca="1">IF(ROW()-ROW($G$2:$G$111)+1&gt;ROWS($F$2:$F$111)-COUNTBLANK($F$2:$F$111),"",INDIRECT(ADDRESS(SMALL((IF($F$2:$F$111&lt;&gt;"",ROW($F$2:$F$111),ROW()+ROWS($F$2:$F$111))),ROW()-ROW($G$2:$G$111)+1),COLUMN($F$2:$F$111),4)))</f>
        <v/>
      </c>
      <c r="N11" s="55" t="str">
        <f t="array" aca="1" ref="N11" ca="1">IF(ROW()-ROW($H$2:$H$111)+1&gt;ROWS($G$2:$G$111)-COUNTBLANK($G$2:$G$111),"",INDIRECT(ADDRESS(SMALL((IF($G$2:$G$111&lt;&gt;"",ROW($G$2:$G$111),ROW()+ROWS($G$2:$G$111))),ROW()-ROW($H$2:$H$111)+1),COLUMN($G$2:$G$111),4)))</f>
        <v/>
      </c>
      <c r="O11" s="121" t="str">
        <f t="array" aca="1" ref="O11" ca="1">IF(ROW()-ROW($I$2:$I$111)+1&gt;ROWS($H$2:$H$111)-COUNTBLANK($H$2:$H$111),"",INDIRECT(ADDRESS(SMALL((IF($H$2:$H$111&lt;&gt;"",ROW($H$2:$H$111),ROW()+ROWS($H$2:$H$111))),ROW()-ROW($I$2:$I$111)+1),COLUMN($H$2:$H$111),4)))</f>
        <v/>
      </c>
      <c r="P11" s="121" t="str">
        <f t="array" aca="1" ref="P11" ca="1">IF(ROW()-ROW($J$2:$J$111)+1&gt;ROWS($I$2:$I$111)-COUNTBLANK($I$2:$I$111),"",INDIRECT(ADDRESS(SMALL((IF($I$2:$I$111&lt;&gt;"",ROW($I$2:$I$111),ROW()+ROWS($I$2:$I$111))),ROW()-ROW($J$2:$J$111)+1),COLUMN($I$2:$I$111),4)))</f>
        <v/>
      </c>
    </row>
    <row r="12" spans="1:19" s="28" customFormat="1" ht="15.95" customHeight="1" x14ac:dyDescent="0.25">
      <c r="A12" s="121" t="str">
        <f>IF(Datenquelle!$F$3&gt;1,IF(Datenquelle!$F$3=2,"EZ",IF(Datenquelle!$F$3&gt;2,"relevant","?")),"nicht relevant")</f>
        <v>nicht relevant</v>
      </c>
      <c r="B12" s="81" t="s">
        <v>1146</v>
      </c>
      <c r="D12" s="181"/>
      <c r="E12" s="145" t="str">
        <f>IF(H12="","","2023")</f>
        <v/>
      </c>
      <c r="F12" s="146" t="str">
        <f t="shared" ref="F12" si="3">IF(H12="","","a")</f>
        <v/>
      </c>
      <c r="G12" s="146" t="str">
        <f t="shared" ref="G12" si="4">IF(H12="","","1")</f>
        <v/>
      </c>
      <c r="H12" s="131" t="str">
        <f>IF(A12="relevant",IF(COUNTIF(Matrix!C28:K28,"")&gt;0,Berechnung2!$L$35,""),"")</f>
        <v/>
      </c>
      <c r="I12" s="121" t="str">
        <f>IF(H12="","",VLOOKUP(F12,Berechnung2!$I$15:$J$25,2,FALSE))</f>
        <v/>
      </c>
      <c r="J12" s="132" t="str">
        <f t="shared" ref="J12" si="5">IF(H12&lt;&gt;"",1,"")</f>
        <v/>
      </c>
      <c r="L12" s="55" t="str">
        <f t="array" aca="1" ref="L12" ca="1">IF(ROW()-ROW($F$2:$F$111)+1&gt;ROWS($E$2:$E$111)-COUNTBLANK($E$2:$E$111),"",INDIRECT(ADDRESS(SMALL((IF($E$2:$E$111&gt;"",ROW($E$2:$E$111),ROW()+ROWS($E$2:$E$111))),ROW()-ROW($F$2:$F$111)+1),COLUMN($E$2:$E$111),4)))</f>
        <v/>
      </c>
      <c r="M12" s="55" t="str">
        <f t="array" aca="1" ref="M12" ca="1">IF(ROW()-ROW($G$2:$G$111)+1&gt;ROWS($F$2:$F$111)-COUNTBLANK($F$2:$F$111),"",INDIRECT(ADDRESS(SMALL((IF($F$2:$F$111&lt;&gt;"",ROW($F$2:$F$111),ROW()+ROWS($F$2:$F$111))),ROW()-ROW($G$2:$G$111)+1),COLUMN($F$2:$F$111),4)))</f>
        <v/>
      </c>
      <c r="N12" s="55" t="str">
        <f t="array" aca="1" ref="N12" ca="1">IF(ROW()-ROW($H$2:$H$111)+1&gt;ROWS($G$2:$G$111)-COUNTBLANK($G$2:$G$111),"",INDIRECT(ADDRESS(SMALL((IF($G$2:$G$111&lt;&gt;"",ROW($G$2:$G$111),ROW()+ROWS($G$2:$G$111))),ROW()-ROW($H$2:$H$111)+1),COLUMN($G$2:$G$111),4)))</f>
        <v/>
      </c>
      <c r="O12" s="121" t="str">
        <f t="array" aca="1" ref="O12" ca="1">IF(ROW()-ROW($I$2:$I$111)+1&gt;ROWS($H$2:$H$111)-COUNTBLANK($H$2:$H$111),"",INDIRECT(ADDRESS(SMALL((IF($H$2:$H$111&lt;&gt;"",ROW($H$2:$H$111),ROW()+ROWS($H$2:$H$111))),ROW()-ROW($I$2:$I$111)+1),COLUMN($H$2:$H$111),4)))</f>
        <v/>
      </c>
      <c r="P12" s="121" t="str">
        <f t="array" aca="1" ref="P12" ca="1">IF(ROW()-ROW($J$2:$J$111)+1&gt;ROWS($I$2:$I$111)-COUNTBLANK($I$2:$I$111),"",INDIRECT(ADDRESS(SMALL((IF($I$2:$I$111&lt;&gt;"",ROW($I$2:$I$111),ROW()+ROWS($I$2:$I$111))),ROW()-ROW($J$2:$J$111)+1),COLUMN($I$2:$I$111),4)))</f>
        <v/>
      </c>
    </row>
    <row r="13" spans="1:19" s="28" customFormat="1" ht="15.95" customHeight="1" thickBot="1" x14ac:dyDescent="0.3">
      <c r="A13" s="121" t="str">
        <f>IF(Datenquelle!$F$3&gt;0,IF(Datenquelle!$F$3=1,"EZ",IF(Datenquelle!$F$3&gt;1,"relevant","?")),"nicht relevant")</f>
        <v>nicht relevant</v>
      </c>
      <c r="B13" s="81" t="s">
        <v>1227</v>
      </c>
      <c r="D13" s="181" t="s">
        <v>36</v>
      </c>
      <c r="E13" s="145" t="str">
        <f>IF(H13="","","2024")</f>
        <v/>
      </c>
      <c r="F13" s="411"/>
      <c r="G13" s="411"/>
      <c r="H13" s="412"/>
      <c r="I13" s="413"/>
      <c r="J13" s="414"/>
      <c r="L13" s="55" t="str">
        <f t="array" aca="1" ref="L13" ca="1">IF(ROW()-ROW($F$2:$F$111)+1&gt;ROWS($E$2:$E$111)-COUNTBLANK($E$2:$E$111),"",INDIRECT(ADDRESS(SMALL((IF($E$2:$E$111&gt;"",ROW($E$2:$E$111),ROW()+ROWS($E$2:$E$111))),ROW()-ROW($F$2:$F$111)+1),COLUMN($E$2:$E$111),4)))</f>
        <v/>
      </c>
      <c r="M13" s="55" t="str">
        <f t="array" aca="1" ref="M13" ca="1">IF(ROW()-ROW($G$2:$G$111)+1&gt;ROWS($F$2:$F$111)-COUNTBLANK($F$2:$F$111),"",INDIRECT(ADDRESS(SMALL((IF($F$2:$F$111&lt;&gt;"",ROW($F$2:$F$111),ROW()+ROWS($F$2:$F$111))),ROW()-ROW($G$2:$G$111)+1),COLUMN($F$2:$F$111),4)))</f>
        <v/>
      </c>
      <c r="N13" s="55" t="str">
        <f t="array" aca="1" ref="N13" ca="1">IF(ROW()-ROW($H$2:$H$111)+1&gt;ROWS($G$2:$G$111)-COUNTBLANK($G$2:$G$111),"",INDIRECT(ADDRESS(SMALL((IF($G$2:$G$111&lt;&gt;"",ROW($G$2:$G$111),ROW()+ROWS($G$2:$G$111))),ROW()-ROW($H$2:$H$111)+1),COLUMN($G$2:$G$111),4)))</f>
        <v/>
      </c>
      <c r="O13" s="121" t="str">
        <f t="array" aca="1" ref="O13" ca="1">IF(ROW()-ROW($I$2:$I$111)+1&gt;ROWS($H$2:$H$111)-COUNTBLANK($H$2:$H$111),"",INDIRECT(ADDRESS(SMALL((IF($H$2:$H$111&lt;&gt;"",ROW($H$2:$H$111),ROW()+ROWS($H$2:$H$111))),ROW()-ROW($I$2:$I$111)+1),COLUMN($H$2:$H$111),4)))</f>
        <v/>
      </c>
      <c r="P13" s="121" t="str">
        <f t="array" aca="1" ref="P13" ca="1">IF(ROW()-ROW($J$2:$J$111)+1&gt;ROWS($I$2:$I$111)-COUNTBLANK($I$2:$I$111),"",INDIRECT(ADDRESS(SMALL((IF($I$2:$I$111&lt;&gt;"",ROW($I$2:$I$111),ROW()+ROWS($I$2:$I$111))),ROW()-ROW($J$2:$J$111)+1),COLUMN($I$2:$I$111),4)))</f>
        <v/>
      </c>
    </row>
    <row r="14" spans="1:19" s="28" customFormat="1" ht="15.95" customHeight="1" x14ac:dyDescent="0.25">
      <c r="D14" s="128" t="s">
        <v>461</v>
      </c>
      <c r="E14" s="143" t="str">
        <f>IF(H14="","","2013")</f>
        <v/>
      </c>
      <c r="F14" s="144" t="str">
        <f>IF(H14="","","m")</f>
        <v/>
      </c>
      <c r="G14" s="144" t="str">
        <f>IF(H14="","","1")</f>
        <v/>
      </c>
      <c r="H14" s="410" t="str">
        <f>IF(A2="relevant",IF(Matrix!M18="","",IF(Matrix!M18&gt;Matrix!C18,Berechnung2!$L$36,"")),"")</f>
        <v/>
      </c>
      <c r="I14" s="134" t="str">
        <f>IF(H14="","",VLOOKUP(F14,Berechnung2!$I$15:$J$25,2,FALSE))</f>
        <v/>
      </c>
      <c r="J14" s="133" t="str">
        <f t="shared" ref="J14:J35" si="6">IF(H14&lt;&gt;"",1,"")</f>
        <v/>
      </c>
      <c r="L14" s="55" t="str">
        <f t="array" aca="1" ref="L14" ca="1">IF(ROW()-ROW($F$2:$F$111)+1&gt;ROWS($E$2:$E$111)-COUNTBLANK($E$2:$E$111),"",INDIRECT(ADDRESS(SMALL((IF($E$2:$E$111&gt;"",ROW($E$2:$E$111),ROW()+ROWS($E$2:$E$111))),ROW()-ROW($F$2:$F$111)+1),COLUMN($E$2:$E$111),4)))</f>
        <v/>
      </c>
      <c r="M14" s="55" t="str">
        <f t="array" aca="1" ref="M14" ca="1">IF(ROW()-ROW($G$2:$G$111)+1&gt;ROWS($F$2:$F$111)-COUNTBLANK($F$2:$F$111),"",INDIRECT(ADDRESS(SMALL((IF($F$2:$F$111&lt;&gt;"",ROW($F$2:$F$111),ROW()+ROWS($F$2:$F$111))),ROW()-ROW($G$2:$G$111)+1),COLUMN($F$2:$F$111),4)))</f>
        <v/>
      </c>
      <c r="N14" s="55" t="str">
        <f t="array" aca="1" ref="N14" ca="1">IF(ROW()-ROW($H$2:$H$111)+1&gt;ROWS($G$2:$G$111)-COUNTBLANK($G$2:$G$111),"",INDIRECT(ADDRESS(SMALL((IF($G$2:$G$111&lt;&gt;"",ROW($G$2:$G$111),ROW()+ROWS($G$2:$G$111))),ROW()-ROW($H$2:$H$111)+1),COLUMN($G$2:$G$111),4)))</f>
        <v/>
      </c>
      <c r="O14" s="121" t="str">
        <f t="array" aca="1" ref="O14" ca="1">IF(ROW()-ROW($I$2:$I$111)+1&gt;ROWS($H$2:$H$111)-COUNTBLANK($H$2:$H$111),"",INDIRECT(ADDRESS(SMALL((IF($H$2:$H$111&lt;&gt;"",ROW($H$2:$H$111),ROW()+ROWS($H$2:$H$111))),ROW()-ROW($I$2:$I$111)+1),COLUMN($H$2:$H$111),4)))</f>
        <v/>
      </c>
      <c r="P14" s="121" t="str">
        <f t="array" aca="1" ref="P14" ca="1">IF(ROW()-ROW($J$2:$J$111)+1&gt;ROWS($I$2:$I$111)-COUNTBLANK($I$2:$I$111),"",INDIRECT(ADDRESS(SMALL((IF($I$2:$I$111&lt;&gt;"",ROW($I$2:$I$111),ROW()+ROWS($I$2:$I$111))),ROW()-ROW($J$2:$J$111)+1),COLUMN($I$2:$I$111),4)))</f>
        <v/>
      </c>
    </row>
    <row r="15" spans="1:19" s="28" customFormat="1" x14ac:dyDescent="0.25">
      <c r="D15" s="917" t="s">
        <v>82</v>
      </c>
      <c r="E15" s="145" t="str">
        <f>IF(H15="","","2014")</f>
        <v/>
      </c>
      <c r="F15" s="146" t="str">
        <f t="shared" ref="F15:F23" si="7">IF(H15="","","m")</f>
        <v/>
      </c>
      <c r="G15" s="146" t="str">
        <f>IF(H15="","","1")</f>
        <v/>
      </c>
      <c r="H15" s="131" t="str">
        <f>IF(A3="relevant",IF(Matrix!M19="","",IF(Matrix!M19&gt;Matrix!C19,Berechnung2!$L$36,"")),"")</f>
        <v/>
      </c>
      <c r="I15" s="121" t="str">
        <f>IF(H15="","",VLOOKUP(F15,Berechnung2!$I$15:$J$25,2,FALSE))</f>
        <v/>
      </c>
      <c r="J15" s="132" t="str">
        <f t="shared" si="6"/>
        <v/>
      </c>
      <c r="L15" s="55" t="str">
        <f t="array" aca="1" ref="L15" ca="1">IF(ROW()-ROW($F$2:$F$111)+1&gt;ROWS($E$2:$E$111)-COUNTBLANK($E$2:$E$111),"",INDIRECT(ADDRESS(SMALL((IF($E$2:$E$111&gt;"",ROW($E$2:$E$111),ROW()+ROWS($E$2:$E$111))),ROW()-ROW($F$2:$F$111)+1),COLUMN($E$2:$E$111),4)))</f>
        <v/>
      </c>
      <c r="M15" s="55" t="str">
        <f t="array" aca="1" ref="M15" ca="1">IF(ROW()-ROW($G$2:$G$111)+1&gt;ROWS($F$2:$F$111)-COUNTBLANK($F$2:$F$111),"",INDIRECT(ADDRESS(SMALL((IF($F$2:$F$111&lt;&gt;"",ROW($F$2:$F$111),ROW()+ROWS($F$2:$F$111))),ROW()-ROW($G$2:$G$111)+1),COLUMN($F$2:$F$111),4)))</f>
        <v/>
      </c>
      <c r="N15" s="55" t="str">
        <f t="array" aca="1" ref="N15" ca="1">IF(ROW()-ROW($H$2:$H$111)+1&gt;ROWS($G$2:$G$111)-COUNTBLANK($G$2:$G$111),"",INDIRECT(ADDRESS(SMALL((IF($G$2:$G$111&lt;&gt;"",ROW($G$2:$G$111),ROW()+ROWS($G$2:$G$111))),ROW()-ROW($H$2:$H$111)+1),COLUMN($G$2:$G$111),4)))</f>
        <v/>
      </c>
      <c r="O15" s="121" t="str">
        <f t="array" aca="1" ref="O15" ca="1">IF(ROW()-ROW($I$2:$I$111)+1&gt;ROWS($H$2:$H$111)-COUNTBLANK($H$2:$H$111),"",INDIRECT(ADDRESS(SMALL((IF($H$2:$H$111&lt;&gt;"",ROW($H$2:$H$111),ROW()+ROWS($H$2:$H$111))),ROW()-ROW($I$2:$I$111)+1),COLUMN($H$2:$H$111),4)))</f>
        <v/>
      </c>
      <c r="P15" s="121" t="str">
        <f t="array" aca="1" ref="P15" ca="1">IF(ROW()-ROW($J$2:$J$111)+1&gt;ROWS($I$2:$I$111)-COUNTBLANK($I$2:$I$111),"",INDIRECT(ADDRESS(SMALL((IF($I$2:$I$111&lt;&gt;"",ROW($I$2:$I$111),ROW()+ROWS($I$2:$I$111))),ROW()-ROW($J$2:$J$111)+1),COLUMN($I$2:$I$111),4)))</f>
        <v/>
      </c>
    </row>
    <row r="16" spans="1:19" s="28" customFormat="1" ht="15" customHeight="1" x14ac:dyDescent="0.25">
      <c r="D16" s="917"/>
      <c r="E16" s="145" t="str">
        <f>IF(H16="","","2015")</f>
        <v/>
      </c>
      <c r="F16" s="146" t="str">
        <f t="shared" si="7"/>
        <v/>
      </c>
      <c r="G16" s="146" t="str">
        <f>IF(H16="","","1")</f>
        <v/>
      </c>
      <c r="H16" s="131" t="str">
        <f>IF(A4="relevant",IF(Matrix!M20="","",IF(Matrix!M20&gt;Matrix!C20,Berechnung2!$L$36,"")),"")</f>
        <v/>
      </c>
      <c r="I16" s="121" t="str">
        <f>IF(H16="","",VLOOKUP(F16,Berechnung2!$I$15:$J$25,2,FALSE))</f>
        <v/>
      </c>
      <c r="J16" s="132" t="str">
        <f t="shared" si="6"/>
        <v/>
      </c>
      <c r="L16" s="55" t="str">
        <f t="array" aca="1" ref="L16" ca="1">IF(ROW()-ROW($F$2:$F$111)+1&gt;ROWS($E$2:$E$111)-COUNTBLANK($E$2:$E$111),"",INDIRECT(ADDRESS(SMALL((IF($E$2:$E$111&gt;"",ROW($E$2:$E$111),ROW()+ROWS($E$2:$E$111))),ROW()-ROW($F$2:$F$111)+1),COLUMN($E$2:$E$111),4)))</f>
        <v/>
      </c>
      <c r="M16" s="55" t="str">
        <f t="array" aca="1" ref="M16" ca="1">IF(ROW()-ROW($G$2:$G$111)+1&gt;ROWS($F$2:$F$111)-COUNTBLANK($F$2:$F$111),"",INDIRECT(ADDRESS(SMALL((IF($F$2:$F$111&lt;&gt;"",ROW($F$2:$F$111),ROW()+ROWS($F$2:$F$111))),ROW()-ROW($G$2:$G$111)+1),COLUMN($F$2:$F$111),4)))</f>
        <v/>
      </c>
      <c r="N16" s="55" t="str">
        <f t="array" aca="1" ref="N16" ca="1">IF(ROW()-ROW($H$2:$H$111)+1&gt;ROWS($G$2:$G$111)-COUNTBLANK($G$2:$G$111),"",INDIRECT(ADDRESS(SMALL((IF($G$2:$G$111&lt;&gt;"",ROW($G$2:$G$111),ROW()+ROWS($G$2:$G$111))),ROW()-ROW($H$2:$H$111)+1),COLUMN($G$2:$G$111),4)))</f>
        <v/>
      </c>
      <c r="O16" s="121" t="str">
        <f t="array" aca="1" ref="O16" ca="1">IF(ROW()-ROW($I$2:$I$111)+1&gt;ROWS($H$2:$H$111)-COUNTBLANK($H$2:$H$111),"",INDIRECT(ADDRESS(SMALL((IF($H$2:$H$111&lt;&gt;"",ROW($H$2:$H$111),ROW()+ROWS($H$2:$H$111))),ROW()-ROW($I$2:$I$111)+1),COLUMN($H$2:$H$111),4)))</f>
        <v/>
      </c>
      <c r="P16" s="121" t="str">
        <f t="array" aca="1" ref="P16" ca="1">IF(ROW()-ROW($J$2:$J$111)+1&gt;ROWS($I$2:$I$111)-COUNTBLANK($I$2:$I$111),"",INDIRECT(ADDRESS(SMALL((IF($I$2:$I$111&lt;&gt;"",ROW($I$2:$I$111),ROW()+ROWS($I$2:$I$111))),ROW()-ROW($J$2:$J$111)+1),COLUMN($I$2:$I$111),4)))</f>
        <v/>
      </c>
    </row>
    <row r="17" spans="1:16" s="28" customFormat="1" ht="11.25" customHeight="1" x14ac:dyDescent="0.25">
      <c r="D17" s="917"/>
      <c r="E17" s="145" t="str">
        <f>IF(H17="","","2016")</f>
        <v/>
      </c>
      <c r="F17" s="146" t="str">
        <f t="shared" si="7"/>
        <v/>
      </c>
      <c r="G17" s="146" t="str">
        <f>IF(H17="","","1")</f>
        <v/>
      </c>
      <c r="H17" s="131" t="str">
        <f>IF(A5="relevant",IF(Matrix!M21="","",IF(Matrix!M21&gt;Matrix!C21,Berechnung2!$L$36,"")),"")</f>
        <v/>
      </c>
      <c r="I17" s="121" t="str">
        <f>IF(H17="","",VLOOKUP(F17,Berechnung2!$I$15:$J$25,2,FALSE))</f>
        <v/>
      </c>
      <c r="J17" s="132" t="str">
        <f t="shared" si="6"/>
        <v/>
      </c>
      <c r="L17" s="55" t="str">
        <f t="array" aca="1" ref="L17" ca="1">IF(ROW()-ROW($F$2:$F$111)+1&gt;ROWS($E$2:$E$111)-COUNTBLANK($E$2:$E$111),"",INDIRECT(ADDRESS(SMALL((IF($E$2:$E$111&gt;"",ROW($E$2:$E$111),ROW()+ROWS($E$2:$E$111))),ROW()-ROW($F$2:$F$111)+1),COLUMN($E$2:$E$111),4)))</f>
        <v/>
      </c>
      <c r="M17" s="55" t="str">
        <f t="array" aca="1" ref="M17" ca="1">IF(ROW()-ROW($G$2:$G$111)+1&gt;ROWS($F$2:$F$111)-COUNTBLANK($F$2:$F$111),"",INDIRECT(ADDRESS(SMALL((IF($F$2:$F$111&lt;&gt;"",ROW($F$2:$F$111),ROW()+ROWS($F$2:$F$111))),ROW()-ROW($G$2:$G$111)+1),COLUMN($F$2:$F$111),4)))</f>
        <v/>
      </c>
      <c r="N17" s="55" t="str">
        <f t="array" aca="1" ref="N17" ca="1">IF(ROW()-ROW($H$2:$H$111)+1&gt;ROWS($G$2:$G$111)-COUNTBLANK($G$2:$G$111),"",INDIRECT(ADDRESS(SMALL((IF($G$2:$G$111&lt;&gt;"",ROW($G$2:$G$111),ROW()+ROWS($G$2:$G$111))),ROW()-ROW($H$2:$H$111)+1),COLUMN($G$2:$G$111),4)))</f>
        <v/>
      </c>
      <c r="O17" s="121" t="str">
        <f t="array" aca="1" ref="O17" ca="1">IF(ROW()-ROW($I$2:$I$111)+1&gt;ROWS($H$2:$H$111)-COUNTBLANK($H$2:$H$111),"",INDIRECT(ADDRESS(SMALL((IF($H$2:$H$111&lt;&gt;"",ROW($H$2:$H$111),ROW()+ROWS($H$2:$H$111))),ROW()-ROW($I$2:$I$111)+1),COLUMN($H$2:$H$111),4)))</f>
        <v/>
      </c>
      <c r="P17" s="121" t="str">
        <f t="array" aca="1" ref="P17" ca="1">IF(ROW()-ROW($J$2:$J$111)+1&gt;ROWS($I$2:$I$111)-COUNTBLANK($I$2:$I$111),"",INDIRECT(ADDRESS(SMALL((IF($I$2:$I$111&lt;&gt;"",ROW($I$2:$I$111),ROW()+ROWS($I$2:$I$111))),ROW()-ROW($J$2:$J$111)+1),COLUMN($I$2:$I$111),4)))</f>
        <v/>
      </c>
    </row>
    <row r="18" spans="1:16" s="28" customFormat="1" x14ac:dyDescent="0.25">
      <c r="A18" s="71"/>
      <c r="B18" s="71"/>
      <c r="D18" s="917"/>
      <c r="E18" s="145" t="str">
        <f>IF(H18="","","2017")</f>
        <v/>
      </c>
      <c r="F18" s="146" t="str">
        <f t="shared" si="7"/>
        <v/>
      </c>
      <c r="G18" s="146" t="str">
        <f t="shared" ref="G18:G71" si="8">IF(H18="","","1")</f>
        <v/>
      </c>
      <c r="H18" s="131" t="str">
        <f>IF(A6="relevant",IF(Matrix!M22="","",IF(Matrix!M22&gt;Matrix!C22,Berechnung2!$L$36,"")),"")</f>
        <v/>
      </c>
      <c r="I18" s="121" t="str">
        <f>IF(H18="","",VLOOKUP(F18,Berechnung2!$I$15:$J$25,2,FALSE))</f>
        <v/>
      </c>
      <c r="J18" s="132" t="str">
        <f t="shared" si="6"/>
        <v/>
      </c>
      <c r="L18" s="55" t="str">
        <f t="array" aca="1" ref="L18" ca="1">IF(ROW()-ROW($F$2:$F$111)+1&gt;ROWS($E$2:$E$111)-COUNTBLANK($E$2:$E$111),"",INDIRECT(ADDRESS(SMALL((IF($E$2:$E$111&gt;"",ROW($E$2:$E$111),ROW()+ROWS($E$2:$E$111))),ROW()-ROW($F$2:$F$111)+1),COLUMN($E$2:$E$111),4)))</f>
        <v/>
      </c>
      <c r="M18" s="55" t="str">
        <f t="array" aca="1" ref="M18" ca="1">IF(ROW()-ROW($G$2:$G$111)+1&gt;ROWS($F$2:$F$111)-COUNTBLANK($F$2:$F$111),"",INDIRECT(ADDRESS(SMALL((IF($F$2:$F$111&lt;&gt;"",ROW($F$2:$F$111),ROW()+ROWS($F$2:$F$111))),ROW()-ROW($G$2:$G$111)+1),COLUMN($F$2:$F$111),4)))</f>
        <v/>
      </c>
      <c r="N18" s="55" t="str">
        <f t="array" aca="1" ref="N18" ca="1">IF(ROW()-ROW($H$2:$H$111)+1&gt;ROWS($G$2:$G$111)-COUNTBLANK($G$2:$G$111),"",INDIRECT(ADDRESS(SMALL((IF($G$2:$G$111&lt;&gt;"",ROW($G$2:$G$111),ROW()+ROWS($G$2:$G$111))),ROW()-ROW($H$2:$H$111)+1),COLUMN($G$2:$G$111),4)))</f>
        <v/>
      </c>
      <c r="O18" s="121" t="str">
        <f t="array" aca="1" ref="O18" ca="1">IF(ROW()-ROW($I$2:$I$111)+1&gt;ROWS($H$2:$H$111)-COUNTBLANK($H$2:$H$111),"",INDIRECT(ADDRESS(SMALL((IF($H$2:$H$111&lt;&gt;"",ROW($H$2:$H$111),ROW()+ROWS($H$2:$H$111))),ROW()-ROW($I$2:$I$111)+1),COLUMN($H$2:$H$111),4)))</f>
        <v/>
      </c>
      <c r="P18" s="121" t="str">
        <f t="array" aca="1" ref="P18" ca="1">IF(ROW()-ROW($J$2:$J$111)+1&gt;ROWS($I$2:$I$111)-COUNTBLANK($I$2:$I$111),"",INDIRECT(ADDRESS(SMALL((IF($I$2:$I$111&lt;&gt;"",ROW($I$2:$I$111),ROW()+ROWS($I$2:$I$111))),ROW()-ROW($J$2:$J$111)+1),COLUMN($I$2:$I$111),4)))</f>
        <v/>
      </c>
    </row>
    <row r="19" spans="1:16" s="28" customFormat="1" x14ac:dyDescent="0.25">
      <c r="A19" s="71"/>
      <c r="B19" s="71"/>
      <c r="D19" s="917"/>
      <c r="E19" s="145" t="str">
        <f>IF(H19="","","2018")</f>
        <v/>
      </c>
      <c r="F19" s="146" t="str">
        <f t="shared" si="7"/>
        <v/>
      </c>
      <c r="G19" s="146" t="str">
        <f t="shared" si="8"/>
        <v/>
      </c>
      <c r="H19" s="131" t="str">
        <f>IF(A7="relevant",IF(Matrix!M23="","",IF(Matrix!M23&gt;Matrix!C23,Berechnung2!$L$36,"")),"")</f>
        <v/>
      </c>
      <c r="I19" s="121" t="str">
        <f>IF(H19="","",VLOOKUP(F19,Berechnung2!$I$15:$J$25,2,FALSE))</f>
        <v/>
      </c>
      <c r="J19" s="132" t="str">
        <f t="shared" si="6"/>
        <v/>
      </c>
      <c r="L19" s="55" t="str">
        <f t="array" aca="1" ref="L19" ca="1">IF(ROW()-ROW($F$2:$F$111)+1&gt;ROWS($E$2:$E$111)-COUNTBLANK($E$2:$E$111),"",INDIRECT(ADDRESS(SMALL((IF($E$2:$E$111&gt;"",ROW($E$2:$E$111),ROW()+ROWS($E$2:$E$111))),ROW()-ROW($F$2:$F$111)+1),COLUMN($E$2:$E$111),4)))</f>
        <v/>
      </c>
      <c r="M19" s="55" t="str">
        <f t="array" aca="1" ref="M19" ca="1">IF(ROW()-ROW($G$2:$G$111)+1&gt;ROWS($F$2:$F$111)-COUNTBLANK($F$2:$F$111),"",INDIRECT(ADDRESS(SMALL((IF($F$2:$F$111&lt;&gt;"",ROW($F$2:$F$111),ROW()+ROWS($F$2:$F$111))),ROW()-ROW($G$2:$G$111)+1),COLUMN($F$2:$F$111),4)))</f>
        <v/>
      </c>
      <c r="N19" s="55" t="str">
        <f t="array" aca="1" ref="N19" ca="1">IF(ROW()-ROW($H$2:$H$111)+1&gt;ROWS($G$2:$G$111)-COUNTBLANK($G$2:$G$111),"",INDIRECT(ADDRESS(SMALL((IF($G$2:$G$111&lt;&gt;"",ROW($G$2:$G$111),ROW()+ROWS($G$2:$G$111))),ROW()-ROW($H$2:$H$111)+1),COLUMN($G$2:$G$111),4)))</f>
        <v/>
      </c>
      <c r="O19" s="121" t="str">
        <f t="array" aca="1" ref="O19" ca="1">IF(ROW()-ROW($I$2:$I$111)+1&gt;ROWS($H$2:$H$111)-COUNTBLANK($H$2:$H$111),"",INDIRECT(ADDRESS(SMALL((IF($H$2:$H$111&lt;&gt;"",ROW($H$2:$H$111),ROW()+ROWS($H$2:$H$111))),ROW()-ROW($I$2:$I$111)+1),COLUMN($H$2:$H$111),4)))</f>
        <v/>
      </c>
      <c r="P19" s="121" t="str">
        <f t="array" aca="1" ref="P19" ca="1">IF(ROW()-ROW($J$2:$J$111)+1&gt;ROWS($I$2:$I$111)-COUNTBLANK($I$2:$I$111),"",INDIRECT(ADDRESS(SMALL((IF($I$2:$I$111&lt;&gt;"",ROW($I$2:$I$111),ROW()+ROWS($I$2:$I$111))),ROW()-ROW($J$2:$J$111)+1),COLUMN($I$2:$I$111),4)))</f>
        <v/>
      </c>
    </row>
    <row r="20" spans="1:16" x14ac:dyDescent="0.25">
      <c r="D20" s="917"/>
      <c r="E20" s="145" t="str">
        <f>IF(H20="","","2019")</f>
        <v/>
      </c>
      <c r="F20" s="146" t="str">
        <f t="shared" si="7"/>
        <v/>
      </c>
      <c r="G20" s="146" t="str">
        <f t="shared" si="8"/>
        <v/>
      </c>
      <c r="H20" s="131" t="str">
        <f>IF(A8="relevant",IF(Matrix!M24="","",IF(Matrix!M24&gt;Matrix!C24,Berechnung2!$L$36,"")),"")</f>
        <v/>
      </c>
      <c r="I20" s="121" t="str">
        <f>IF(H20="","",VLOOKUP(F20,Berechnung2!$I$15:$J$25,2,FALSE))</f>
        <v/>
      </c>
      <c r="J20" s="132" t="str">
        <f t="shared" si="6"/>
        <v/>
      </c>
      <c r="L20" s="55" t="str">
        <f t="array" aca="1" ref="L20" ca="1">IF(ROW()-ROW($F$2:$F$111)+1&gt;ROWS($E$2:$E$111)-COUNTBLANK($E$2:$E$111),"",INDIRECT(ADDRESS(SMALL((IF($E$2:$E$111&gt;"",ROW($E$2:$E$111),ROW()+ROWS($E$2:$E$111))),ROW()-ROW($F$2:$F$111)+1),COLUMN($E$2:$E$111),4)))</f>
        <v/>
      </c>
      <c r="M20" s="55" t="str">
        <f t="array" aca="1" ref="M20" ca="1">IF(ROW()-ROW($G$2:$G$111)+1&gt;ROWS($F$2:$F$111)-COUNTBLANK($F$2:$F$111),"",INDIRECT(ADDRESS(SMALL((IF($F$2:$F$111&lt;&gt;"",ROW($F$2:$F$111),ROW()+ROWS($F$2:$F$111))),ROW()-ROW($G$2:$G$111)+1),COLUMN($F$2:$F$111),4)))</f>
        <v/>
      </c>
      <c r="N20" s="55" t="str">
        <f t="array" aca="1" ref="N20" ca="1">IF(ROW()-ROW($H$2:$H$111)+1&gt;ROWS($G$2:$G$111)-COUNTBLANK($G$2:$G$111),"",INDIRECT(ADDRESS(SMALL((IF($G$2:$G$111&lt;&gt;"",ROW($G$2:$G$111),ROW()+ROWS($G$2:$G$111))),ROW()-ROW($H$2:$H$111)+1),COLUMN($G$2:$G$111),4)))</f>
        <v/>
      </c>
      <c r="O20" s="121" t="str">
        <f t="array" aca="1" ref="O20" ca="1">IF(ROW()-ROW($I$2:$I$111)+1&gt;ROWS($H$2:$H$111)-COUNTBLANK($H$2:$H$111),"",INDIRECT(ADDRESS(SMALL((IF($H$2:$H$111&lt;&gt;"",ROW($H$2:$H$111),ROW()+ROWS($H$2:$H$111))),ROW()-ROW($I$2:$I$111)+1),COLUMN($H$2:$H$111),4)))</f>
        <v/>
      </c>
      <c r="P20" s="121" t="str">
        <f t="array" aca="1" ref="P20" ca="1">IF(ROW()-ROW($J$2:$J$111)+1&gt;ROWS($I$2:$I$111)-COUNTBLANK($I$2:$I$111),"",INDIRECT(ADDRESS(SMALL((IF($I$2:$I$111&lt;&gt;"",ROW($I$2:$I$111),ROW()+ROWS($I$2:$I$111))),ROW()-ROW($J$2:$J$111)+1),COLUMN($I$2:$I$111),4)))</f>
        <v/>
      </c>
    </row>
    <row r="21" spans="1:16" x14ac:dyDescent="0.25">
      <c r="D21" s="917"/>
      <c r="E21" s="145" t="str">
        <f>IF(H21="","","2020")</f>
        <v/>
      </c>
      <c r="F21" s="146" t="str">
        <f t="shared" si="7"/>
        <v/>
      </c>
      <c r="G21" s="146" t="str">
        <f t="shared" si="8"/>
        <v/>
      </c>
      <c r="H21" s="131" t="str">
        <f>IF(A9="relevant",IF(Matrix!M25="","",IF(Matrix!M25&gt;Matrix!C25,Berechnung2!$L$36,"")),"")</f>
        <v/>
      </c>
      <c r="I21" s="121" t="str">
        <f>IF(H21="","",VLOOKUP(F21,Berechnung2!$I$15:$J$25,2,FALSE))</f>
        <v/>
      </c>
      <c r="J21" s="132" t="str">
        <f t="shared" si="6"/>
        <v/>
      </c>
      <c r="L21" s="55" t="str">
        <f t="array" aca="1" ref="L21" ca="1">IF(ROW()-ROW($F$2:$F$111)+1&gt;ROWS($E$2:$E$111)-COUNTBLANK($E$2:$E$111),"",INDIRECT(ADDRESS(SMALL((IF($E$2:$E$111&gt;"",ROW($E$2:$E$111),ROW()+ROWS($E$2:$E$111))),ROW()-ROW($F$2:$F$111)+1),COLUMN($E$2:$E$111),4)))</f>
        <v/>
      </c>
      <c r="M21" s="55" t="str">
        <f t="array" aca="1" ref="M21" ca="1">IF(ROW()-ROW($G$2:$G$111)+1&gt;ROWS($F$2:$F$111)-COUNTBLANK($F$2:$F$111),"",INDIRECT(ADDRESS(SMALL((IF($F$2:$F$111&lt;&gt;"",ROW($F$2:$F$111),ROW()+ROWS($F$2:$F$111))),ROW()-ROW($G$2:$G$111)+1),COLUMN($F$2:$F$111),4)))</f>
        <v/>
      </c>
      <c r="N21" s="55" t="str">
        <f t="array" aca="1" ref="N21" ca="1">IF(ROW()-ROW($H$2:$H$111)+1&gt;ROWS($G$2:$G$111)-COUNTBLANK($G$2:$G$111),"",INDIRECT(ADDRESS(SMALL((IF($G$2:$G$111&lt;&gt;"",ROW($G$2:$G$111),ROW()+ROWS($G$2:$G$111))),ROW()-ROW($H$2:$H$111)+1),COLUMN($G$2:$G$111),4)))</f>
        <v/>
      </c>
      <c r="O21" s="121" t="str">
        <f t="array" aca="1" ref="O21" ca="1">IF(ROW()-ROW($I$2:$I$111)+1&gt;ROWS($H$2:$H$111)-COUNTBLANK($H$2:$H$111),"",INDIRECT(ADDRESS(SMALL((IF($H$2:$H$111&lt;&gt;"",ROW($H$2:$H$111),ROW()+ROWS($H$2:$H$111))),ROW()-ROW($I$2:$I$111)+1),COLUMN($H$2:$H$111),4)))</f>
        <v/>
      </c>
      <c r="P21" s="121" t="str">
        <f t="array" aca="1" ref="P21" ca="1">IF(ROW()-ROW($J$2:$J$111)+1&gt;ROWS($I$2:$I$111)-COUNTBLANK($I$2:$I$111),"",INDIRECT(ADDRESS(SMALL((IF($I$2:$I$111&lt;&gt;"",ROW($I$2:$I$111),ROW()+ROWS($I$2:$I$111))),ROW()-ROW($J$2:$J$111)+1),COLUMN($I$2:$I$111),4)))</f>
        <v/>
      </c>
    </row>
    <row r="22" spans="1:16" x14ac:dyDescent="0.25">
      <c r="D22" s="917"/>
      <c r="E22" s="145" t="str">
        <f>IF(H22="","","2021")</f>
        <v/>
      </c>
      <c r="F22" s="146" t="str">
        <f t="shared" si="7"/>
        <v/>
      </c>
      <c r="G22" s="146" t="str">
        <f t="shared" si="8"/>
        <v/>
      </c>
      <c r="H22" s="131" t="str">
        <f>IF(A10="relevant",IF(Matrix!M26="","",IF(Matrix!M26&gt;Matrix!C26,Berechnung2!$L$36,"")),"")</f>
        <v/>
      </c>
      <c r="I22" s="121" t="str">
        <f>IF(H22="","",VLOOKUP(F22,Berechnung2!$I$15:$J$25,2,FALSE))</f>
        <v/>
      </c>
      <c r="J22" s="132" t="str">
        <f t="shared" si="6"/>
        <v/>
      </c>
      <c r="L22" s="55" t="str">
        <f t="array" aca="1" ref="L22" ca="1">IF(ROW()-ROW($F$2:$F$111)+1&gt;ROWS($E$2:$E$111)-COUNTBLANK($E$2:$E$111),"",INDIRECT(ADDRESS(SMALL((IF($E$2:$E$111&gt;"",ROW($E$2:$E$111),ROW()+ROWS($E$2:$E$111))),ROW()-ROW($F$2:$F$111)+1),COLUMN($E$2:$E$111),4)))</f>
        <v/>
      </c>
      <c r="M22" s="55" t="str">
        <f t="array" aca="1" ref="M22" ca="1">IF(ROW()-ROW($G$2:$G$111)+1&gt;ROWS($F$2:$F$111)-COUNTBLANK($F$2:$F$111),"",INDIRECT(ADDRESS(SMALL((IF($F$2:$F$111&lt;&gt;"",ROW($F$2:$F$111),ROW()+ROWS($F$2:$F$111))),ROW()-ROW($G$2:$G$111)+1),COLUMN($F$2:$F$111),4)))</f>
        <v/>
      </c>
      <c r="N22" s="55" t="str">
        <f t="array" aca="1" ref="N22" ca="1">IF(ROW()-ROW($H$2:$H$111)+1&gt;ROWS($G$2:$G$111)-COUNTBLANK($G$2:$G$111),"",INDIRECT(ADDRESS(SMALL((IF($G$2:$G$111&lt;&gt;"",ROW($G$2:$G$111),ROW()+ROWS($G$2:$G$111))),ROW()-ROW($H$2:$H$111)+1),COLUMN($G$2:$G$111),4)))</f>
        <v/>
      </c>
      <c r="O22" s="121" t="str">
        <f t="array" aca="1" ref="O22" ca="1">IF(ROW()-ROW($I$2:$I$111)+1&gt;ROWS($H$2:$H$111)-COUNTBLANK($H$2:$H$111),"",INDIRECT(ADDRESS(SMALL((IF($H$2:$H$111&lt;&gt;"",ROW($H$2:$H$111),ROW()+ROWS($H$2:$H$111))),ROW()-ROW($I$2:$I$111)+1),COLUMN($H$2:$H$111),4)))</f>
        <v/>
      </c>
      <c r="P22" s="121" t="str">
        <f t="array" aca="1" ref="P22" ca="1">IF(ROW()-ROW($J$2:$J$111)+1&gt;ROWS($I$2:$I$111)-COUNTBLANK($I$2:$I$111),"",INDIRECT(ADDRESS(SMALL((IF($I$2:$I$111&lt;&gt;"",ROW($I$2:$I$111),ROW()+ROWS($I$2:$I$111))),ROW()-ROW($J$2:$J$111)+1),COLUMN($I$2:$I$111),4)))</f>
        <v/>
      </c>
    </row>
    <row r="23" spans="1:16" x14ac:dyDescent="0.25">
      <c r="D23" s="917"/>
      <c r="E23" s="145" t="str">
        <f>IF(H23="","","2022")</f>
        <v/>
      </c>
      <c r="F23" s="146" t="str">
        <f t="shared" si="7"/>
        <v/>
      </c>
      <c r="G23" s="146" t="str">
        <f t="shared" si="8"/>
        <v/>
      </c>
      <c r="H23" s="131" t="str">
        <f>IF(A11="relevant",IF(Matrix!M27="","",IF(Matrix!M27&gt;Matrix!C27,Berechnung2!$L$36,"")),"")</f>
        <v/>
      </c>
      <c r="I23" s="121" t="str">
        <f>IF(H23="","",VLOOKUP(F23,Berechnung2!$I$15:$J$25,2,FALSE))</f>
        <v/>
      </c>
      <c r="J23" s="132" t="str">
        <f t="shared" si="6"/>
        <v/>
      </c>
      <c r="L23" s="55" t="str">
        <f t="array" aca="1" ref="L23" ca="1">IF(ROW()-ROW($F$2:$F$111)+1&gt;ROWS($E$2:$E$111)-COUNTBLANK($E$2:$E$111),"",INDIRECT(ADDRESS(SMALL((IF($E$2:$E$111&gt;"",ROW($E$2:$E$111),ROW()+ROWS($E$2:$E$111))),ROW()-ROW($F$2:$F$111)+1),COLUMN($E$2:$E$111),4)))</f>
        <v/>
      </c>
      <c r="M23" s="55" t="str">
        <f t="array" aca="1" ref="M23" ca="1">IF(ROW()-ROW($G$2:$G$111)+1&gt;ROWS($F$2:$F$111)-COUNTBLANK($F$2:$F$111),"",INDIRECT(ADDRESS(SMALL((IF($F$2:$F$111&lt;&gt;"",ROW($F$2:$F$111),ROW()+ROWS($F$2:$F$111))),ROW()-ROW($G$2:$G$111)+1),COLUMN($F$2:$F$111),4)))</f>
        <v/>
      </c>
      <c r="N23" s="55" t="str">
        <f t="array" aca="1" ref="N23" ca="1">IF(ROW()-ROW($H$2:$H$111)+1&gt;ROWS($G$2:$G$111)-COUNTBLANK($G$2:$G$111),"",INDIRECT(ADDRESS(SMALL((IF($G$2:$G$111&lt;&gt;"",ROW($G$2:$G$111),ROW()+ROWS($G$2:$G$111))),ROW()-ROW($H$2:$H$111)+1),COLUMN($G$2:$G$111),4)))</f>
        <v/>
      </c>
      <c r="O23" s="121" t="str">
        <f t="array" aca="1" ref="O23" ca="1">IF(ROW()-ROW($I$2:$I$111)+1&gt;ROWS($H$2:$H$111)-COUNTBLANK($H$2:$H$111),"",INDIRECT(ADDRESS(SMALL((IF($H$2:$H$111&lt;&gt;"",ROW($H$2:$H$111),ROW()+ROWS($H$2:$H$111))),ROW()-ROW($I$2:$I$111)+1),COLUMN($H$2:$H$111),4)))</f>
        <v/>
      </c>
      <c r="P23" s="121" t="str">
        <f t="array" aca="1" ref="P23" ca="1">IF(ROW()-ROW($J$2:$J$111)+1&gt;ROWS($I$2:$I$111)-COUNTBLANK($I$2:$I$111),"",INDIRECT(ADDRESS(SMALL((IF($I$2:$I$111&lt;&gt;"",ROW($I$2:$I$111),ROW()+ROWS($I$2:$I$111))),ROW()-ROW($J$2:$J$111)+1),COLUMN($I$2:$I$111),4)))</f>
        <v/>
      </c>
    </row>
    <row r="24" spans="1:16" x14ac:dyDescent="0.25">
      <c r="D24" s="181"/>
      <c r="E24" s="145" t="str">
        <f>IF(H24="","","2023")</f>
        <v/>
      </c>
      <c r="F24" s="415"/>
      <c r="G24" s="415"/>
      <c r="H24" s="416"/>
      <c r="I24" s="417"/>
      <c r="J24" s="418"/>
      <c r="L24" s="55" t="str">
        <f t="array" aca="1" ref="L24" ca="1">IF(ROW()-ROW($F$2:$F$111)+1&gt;ROWS($E$2:$E$111)-COUNTBLANK($E$2:$E$111),"",INDIRECT(ADDRESS(SMALL((IF($E$2:$E$111&gt;"",ROW($E$2:$E$111),ROW()+ROWS($E$2:$E$111))),ROW()-ROW($F$2:$F$111)+1),COLUMN($E$2:$E$111),4)))</f>
        <v/>
      </c>
      <c r="M24" s="55" t="str">
        <f t="array" aca="1" ref="M24" ca="1">IF(ROW()-ROW($G$2:$G$111)+1&gt;ROWS($F$2:$F$111)-COUNTBLANK($F$2:$F$111),"",INDIRECT(ADDRESS(SMALL((IF($F$2:$F$111&lt;&gt;"",ROW($F$2:$F$111),ROW()+ROWS($F$2:$F$111))),ROW()-ROW($G$2:$G$111)+1),COLUMN($F$2:$F$111),4)))</f>
        <v/>
      </c>
      <c r="N24" s="55" t="str">
        <f t="array" aca="1" ref="N24" ca="1">IF(ROW()-ROW($H$2:$H$111)+1&gt;ROWS($G$2:$G$111)-COUNTBLANK($G$2:$G$111),"",INDIRECT(ADDRESS(SMALL((IF($G$2:$G$111&lt;&gt;"",ROW($G$2:$G$111),ROW()+ROWS($G$2:$G$111))),ROW()-ROW($H$2:$H$111)+1),COLUMN($G$2:$G$111),4)))</f>
        <v/>
      </c>
      <c r="O24" s="121" t="str">
        <f t="array" aca="1" ref="O24" ca="1">IF(ROW()-ROW($I$2:$I$111)+1&gt;ROWS($H$2:$H$111)-COUNTBLANK($H$2:$H$111),"",INDIRECT(ADDRESS(SMALL((IF($H$2:$H$111&lt;&gt;"",ROW($H$2:$H$111),ROW()+ROWS($H$2:$H$111))),ROW()-ROW($I$2:$I$111)+1),COLUMN($H$2:$H$111),4)))</f>
        <v/>
      </c>
      <c r="P24" s="121" t="str">
        <f t="array" aca="1" ref="P24" ca="1">IF(ROW()-ROW($J$2:$J$111)+1&gt;ROWS($I$2:$I$111)-COUNTBLANK($I$2:$I$111),"",INDIRECT(ADDRESS(SMALL((IF($I$2:$I$111&lt;&gt;"",ROW($I$2:$I$111),ROW()+ROWS($I$2:$I$111))),ROW()-ROW($J$2:$J$111)+1),COLUMN($I$2:$I$111),4)))</f>
        <v/>
      </c>
    </row>
    <row r="25" spans="1:16" ht="13.5" customHeight="1" thickBot="1" x14ac:dyDescent="0.3">
      <c r="D25" s="182" t="s">
        <v>89</v>
      </c>
      <c r="E25" s="145" t="str">
        <f>IF(H25="","","2024")</f>
        <v/>
      </c>
      <c r="F25" s="411"/>
      <c r="G25" s="411"/>
      <c r="H25" s="420"/>
      <c r="I25" s="413"/>
      <c r="J25" s="414"/>
      <c r="L25" s="55" t="str">
        <f t="array" aca="1" ref="L25" ca="1">IF(ROW()-ROW($F$2:$F$111)+1&gt;ROWS($E$2:$E$111)-COUNTBLANK($E$2:$E$111),"",INDIRECT(ADDRESS(SMALL((IF($E$2:$E$111&gt;"",ROW($E$2:$E$111),ROW()+ROWS($E$2:$E$111))),ROW()-ROW($F$2:$F$111)+1),COLUMN($E$2:$E$111),4)))</f>
        <v/>
      </c>
      <c r="M25" s="55" t="str">
        <f t="array" aca="1" ref="M25" ca="1">IF(ROW()-ROW($G$2:$G$111)+1&gt;ROWS($F$2:$F$111)-COUNTBLANK($F$2:$F$111),"",INDIRECT(ADDRESS(SMALL((IF($F$2:$F$111&lt;&gt;"",ROW($F$2:$F$111),ROW()+ROWS($F$2:$F$111))),ROW()-ROW($G$2:$G$111)+1),COLUMN($F$2:$F$111),4)))</f>
        <v/>
      </c>
      <c r="N25" s="55" t="str">
        <f t="array" aca="1" ref="N25" ca="1">IF(ROW()-ROW($H$2:$H$111)+1&gt;ROWS($G$2:$G$111)-COUNTBLANK($G$2:$G$111),"",INDIRECT(ADDRESS(SMALL((IF($G$2:$G$111&lt;&gt;"",ROW($G$2:$G$111),ROW()+ROWS($G$2:$G$111))),ROW()-ROW($H$2:$H$111)+1),COLUMN($G$2:$G$111),4)))</f>
        <v/>
      </c>
      <c r="O25" s="121" t="str">
        <f t="array" aca="1" ref="O25" ca="1">IF(ROW()-ROW($I$2:$I$111)+1&gt;ROWS($H$2:$H$111)-COUNTBLANK($H$2:$H$111),"",INDIRECT(ADDRESS(SMALL((IF($H$2:$H$111&lt;&gt;"",ROW($H$2:$H$111),ROW()+ROWS($H$2:$H$111))),ROW()-ROW($I$2:$I$111)+1),COLUMN($H$2:$H$111),4)))</f>
        <v/>
      </c>
      <c r="P25" s="121" t="str">
        <f t="array" aca="1" ref="P25" ca="1">IF(ROW()-ROW($J$2:$J$111)+1&gt;ROWS($I$2:$I$111)-COUNTBLANK($I$2:$I$111),"",INDIRECT(ADDRESS(SMALL((IF($I$2:$I$111&lt;&gt;"",ROW($I$2:$I$111),ROW()+ROWS($I$2:$I$111))),ROW()-ROW($J$2:$J$111)+1),COLUMN($I$2:$I$111),4)))</f>
        <v/>
      </c>
    </row>
    <row r="26" spans="1:16" x14ac:dyDescent="0.25">
      <c r="D26" s="181" t="s">
        <v>461</v>
      </c>
      <c r="E26" s="193" t="str">
        <f>IF(H26="","","2013")</f>
        <v/>
      </c>
      <c r="F26" s="144" t="str">
        <f>IF(H26="","","c")</f>
        <v/>
      </c>
      <c r="G26" s="144" t="str">
        <f t="shared" si="8"/>
        <v/>
      </c>
      <c r="H26" s="410" t="str">
        <f>IF(A2="relevant",IF(Matrix!T18&lt;Berechnung2!$G$39,Berechnung2!$L$39,""),"")</f>
        <v/>
      </c>
      <c r="I26" s="134" t="str">
        <f>IF(H26="","",VLOOKUP(F26,Berechnung2!$I$15:$J$25,2,FALSE))</f>
        <v/>
      </c>
      <c r="J26" s="133" t="str">
        <f t="shared" si="6"/>
        <v/>
      </c>
      <c r="L26" s="55" t="str">
        <f t="array" aca="1" ref="L26" ca="1">IF(ROW()-ROW($F$2:$F$111)+1&gt;ROWS($E$2:$E$111)-COUNTBLANK($E$2:$E$111),"",INDIRECT(ADDRESS(SMALL((IF($E$2:$E$111&gt;"",ROW($E$2:$E$111),ROW()+ROWS($E$2:$E$111))),ROW()-ROW($F$2:$F$111)+1),COLUMN($E$2:$E$111),4)))</f>
        <v/>
      </c>
      <c r="M26" s="55" t="str">
        <f t="array" aca="1" ref="M26" ca="1">IF(ROW()-ROW($G$2:$G$111)+1&gt;ROWS($F$2:$F$111)-COUNTBLANK($F$2:$F$111),"",INDIRECT(ADDRESS(SMALL((IF($F$2:$F$111&lt;&gt;"",ROW($F$2:$F$111),ROW()+ROWS($F$2:$F$111))),ROW()-ROW($G$2:$G$111)+1),COLUMN($F$2:$F$111),4)))</f>
        <v/>
      </c>
      <c r="N26" s="55" t="str">
        <f t="array" aca="1" ref="N26" ca="1">IF(ROW()-ROW($H$2:$H$111)+1&gt;ROWS($G$2:$G$111)-COUNTBLANK($G$2:$G$111),"",INDIRECT(ADDRESS(SMALL((IF($G$2:$G$111&lt;&gt;"",ROW($G$2:$G$111),ROW()+ROWS($G$2:$G$111))),ROW()-ROW($H$2:$H$111)+1),COLUMN($G$2:$G$111),4)))</f>
        <v/>
      </c>
      <c r="O26" s="121" t="str">
        <f t="array" aca="1" ref="O26" ca="1">IF(ROW()-ROW($I$2:$I$111)+1&gt;ROWS($H$2:$H$111)-COUNTBLANK($H$2:$H$111),"",INDIRECT(ADDRESS(SMALL((IF($H$2:$H$111&lt;&gt;"",ROW($H$2:$H$111),ROW()+ROWS($H$2:$H$111))),ROW()-ROW($I$2:$I$111)+1),COLUMN($H$2:$H$111),4)))</f>
        <v/>
      </c>
      <c r="P26" s="121" t="str">
        <f t="array" aca="1" ref="P26" ca="1">IF(ROW()-ROW($J$2:$J$111)+1&gt;ROWS($I$2:$I$111)-COUNTBLANK($I$2:$I$111),"",INDIRECT(ADDRESS(SMALL((IF($I$2:$I$111&lt;&gt;"",ROW($I$2:$I$111),ROW()+ROWS($I$2:$I$111))),ROW()-ROW($J$2:$J$111)+1),COLUMN($I$2:$I$111),4)))</f>
        <v/>
      </c>
    </row>
    <row r="27" spans="1:16" x14ac:dyDescent="0.25">
      <c r="D27" s="917" t="s">
        <v>433</v>
      </c>
      <c r="E27" s="194" t="str">
        <f>IF(H27="","","2014")</f>
        <v/>
      </c>
      <c r="F27" s="146" t="str">
        <f>IF(H27="","","c")</f>
        <v/>
      </c>
      <c r="G27" s="146" t="str">
        <f t="shared" si="8"/>
        <v/>
      </c>
      <c r="H27" s="131" t="str">
        <f>IF(A3="relevant",IF(Matrix!T19&lt;Berechnung2!$G$39,Berechnung2!$L$39,""),"")</f>
        <v/>
      </c>
      <c r="I27" s="121" t="str">
        <f>IF(H27="","",VLOOKUP(F27,Berechnung2!$I$15:$J$25,2,FALSE))</f>
        <v/>
      </c>
      <c r="J27" s="132" t="str">
        <f t="shared" si="6"/>
        <v/>
      </c>
      <c r="L27" s="55" t="str">
        <f t="array" aca="1" ref="L27" ca="1">IF(ROW()-ROW($F$2:$F$111)+1&gt;ROWS($E$2:$E$111)-COUNTBLANK($E$2:$E$111),"",INDIRECT(ADDRESS(SMALL((IF($E$2:$E$111&gt;"",ROW($E$2:$E$111),ROW()+ROWS($E$2:$E$111))),ROW()-ROW($F$2:$F$111)+1),COLUMN($E$2:$E$111),4)))</f>
        <v/>
      </c>
      <c r="M27" s="55" t="str">
        <f t="array" aca="1" ref="M27" ca="1">IF(ROW()-ROW($G$2:$G$111)+1&gt;ROWS($F$2:$F$111)-COUNTBLANK($F$2:$F$111),"",INDIRECT(ADDRESS(SMALL((IF($F$2:$F$111&lt;&gt;"",ROW($F$2:$F$111),ROW()+ROWS($F$2:$F$111))),ROW()-ROW($G$2:$G$111)+1),COLUMN($F$2:$F$111),4)))</f>
        <v/>
      </c>
      <c r="N27" s="55" t="str">
        <f t="array" aca="1" ref="N27" ca="1">IF(ROW()-ROW($H$2:$H$111)+1&gt;ROWS($G$2:$G$111)-COUNTBLANK($G$2:$G$111),"",INDIRECT(ADDRESS(SMALL((IF($G$2:$G$111&lt;&gt;"",ROW($G$2:$G$111),ROW()+ROWS($G$2:$G$111))),ROW()-ROW($H$2:$H$111)+1),COLUMN($G$2:$G$111),4)))</f>
        <v/>
      </c>
      <c r="O27" s="121" t="str">
        <f t="array" aca="1" ref="O27" ca="1">IF(ROW()-ROW($I$2:$I$111)+1&gt;ROWS($H$2:$H$111)-COUNTBLANK($H$2:$H$111),"",INDIRECT(ADDRESS(SMALL((IF($H$2:$H$111&lt;&gt;"",ROW($H$2:$H$111),ROW()+ROWS($H$2:$H$111))),ROW()-ROW($I$2:$I$111)+1),COLUMN($H$2:$H$111),4)))</f>
        <v/>
      </c>
      <c r="P27" s="121" t="str">
        <f t="array" aca="1" ref="P27" ca="1">IF(ROW()-ROW($J$2:$J$111)+1&gt;ROWS($I$2:$I$111)-COUNTBLANK($I$2:$I$111),"",INDIRECT(ADDRESS(SMALL((IF($I$2:$I$111&lt;&gt;"",ROW($I$2:$I$111),ROW()+ROWS($I$2:$I$111))),ROW()-ROW($J$2:$J$111)+1),COLUMN($I$2:$I$111),4)))</f>
        <v/>
      </c>
    </row>
    <row r="28" spans="1:16" ht="11.25" customHeight="1" x14ac:dyDescent="0.25">
      <c r="D28" s="917"/>
      <c r="E28" s="194" t="str">
        <f>IF(H28="","","2015")</f>
        <v/>
      </c>
      <c r="F28" s="146" t="str">
        <f>IF(H28="","","c")</f>
        <v/>
      </c>
      <c r="G28" s="146" t="str">
        <f t="shared" si="8"/>
        <v/>
      </c>
      <c r="H28" s="131" t="str">
        <f>IF(A4="relevant",IF(Matrix!T20&lt;Berechnung2!$G$39,Berechnung2!$L$39,""),"")</f>
        <v/>
      </c>
      <c r="I28" s="121" t="str">
        <f>IF(H28="","",VLOOKUP(F28,Berechnung2!$I$15:$J$25,2,FALSE))</f>
        <v/>
      </c>
      <c r="J28" s="132" t="str">
        <f t="shared" si="6"/>
        <v/>
      </c>
      <c r="L28" s="55" t="str">
        <f t="array" aca="1" ref="L28" ca="1">IF(ROW()-ROW($F$2:$F$111)+1&gt;ROWS($E$2:$E$111)-COUNTBLANK($E$2:$E$111),"",INDIRECT(ADDRESS(SMALL((IF($E$2:$E$111&gt;"",ROW($E$2:$E$111),ROW()+ROWS($E$2:$E$111))),ROW()-ROW($F$2:$F$111)+1),COLUMN($E$2:$E$111),4)))</f>
        <v/>
      </c>
      <c r="M28" s="55" t="str">
        <f t="array" aca="1" ref="M28" ca="1">IF(ROW()-ROW($G$2:$G$111)+1&gt;ROWS($F$2:$F$111)-COUNTBLANK($F$2:$F$111),"",INDIRECT(ADDRESS(SMALL((IF($F$2:$F$111&lt;&gt;"",ROW($F$2:$F$111),ROW()+ROWS($F$2:$F$111))),ROW()-ROW($G$2:$G$111)+1),COLUMN($F$2:$F$111),4)))</f>
        <v/>
      </c>
      <c r="N28" s="55" t="str">
        <f t="array" aca="1" ref="N28" ca="1">IF(ROW()-ROW($H$2:$H$111)+1&gt;ROWS($G$2:$G$111)-COUNTBLANK($G$2:$G$111),"",INDIRECT(ADDRESS(SMALL((IF($G$2:$G$111&lt;&gt;"",ROW($G$2:$G$111),ROW()+ROWS($G$2:$G$111))),ROW()-ROW($H$2:$H$111)+1),COLUMN($G$2:$G$111),4)))</f>
        <v/>
      </c>
      <c r="O28" s="121" t="str">
        <f t="array" aca="1" ref="O28" ca="1">IF(ROW()-ROW($I$2:$I$111)+1&gt;ROWS($H$2:$H$111)-COUNTBLANK($H$2:$H$111),"",INDIRECT(ADDRESS(SMALL((IF($H$2:$H$111&lt;&gt;"",ROW($H$2:$H$111),ROW()+ROWS($H$2:$H$111))),ROW()-ROW($I$2:$I$111)+1),COLUMN($H$2:$H$111),4)))</f>
        <v/>
      </c>
      <c r="P28" s="121" t="str">
        <f t="array" aca="1" ref="P28" ca="1">IF(ROW()-ROW($J$2:$J$111)+1&gt;ROWS($I$2:$I$111)-COUNTBLANK($I$2:$I$111),"",INDIRECT(ADDRESS(SMALL((IF($I$2:$I$111&lt;&gt;"",ROW($I$2:$I$111),ROW()+ROWS($I$2:$I$111))),ROW()-ROW($J$2:$J$111)+1),COLUMN($I$2:$I$111),4)))</f>
        <v/>
      </c>
    </row>
    <row r="29" spans="1:16" x14ac:dyDescent="0.25">
      <c r="D29" s="917"/>
      <c r="E29" s="194" t="str">
        <f>IF(H29="","","2016")</f>
        <v/>
      </c>
      <c r="F29" s="146" t="str">
        <f>IF(H29="","","c")</f>
        <v/>
      </c>
      <c r="G29" s="146" t="str">
        <f t="shared" si="8"/>
        <v/>
      </c>
      <c r="H29" s="131" t="str">
        <f>IF(A5="relevant",IF(Matrix!T21&lt;Berechnung2!$G$39,Berechnung2!$L$39,""),"")</f>
        <v/>
      </c>
      <c r="I29" s="121" t="str">
        <f>IF(H29="","",VLOOKUP(F29,Berechnung2!$I$15:$J$25,2,FALSE))</f>
        <v/>
      </c>
      <c r="J29" s="132" t="str">
        <f t="shared" si="6"/>
        <v/>
      </c>
      <c r="L29" s="55" t="str">
        <f t="array" aca="1" ref="L29" ca="1">IF(ROW()-ROW($F$2:$F$111)+1&gt;ROWS($E$2:$E$111)-COUNTBLANK($E$2:$E$111),"",INDIRECT(ADDRESS(SMALL((IF($E$2:$E$111&gt;"",ROW($E$2:$E$111),ROW()+ROWS($E$2:$E$111))),ROW()-ROW($F$2:$F$111)+1),COLUMN($E$2:$E$111),4)))</f>
        <v/>
      </c>
      <c r="M29" s="55" t="str">
        <f t="array" aca="1" ref="M29" ca="1">IF(ROW()-ROW($G$2:$G$111)+1&gt;ROWS($F$2:$F$111)-COUNTBLANK($F$2:$F$111),"",INDIRECT(ADDRESS(SMALL((IF($F$2:$F$111&lt;&gt;"",ROW($F$2:$F$111),ROW()+ROWS($F$2:$F$111))),ROW()-ROW($G$2:$G$111)+1),COLUMN($F$2:$F$111),4)))</f>
        <v/>
      </c>
      <c r="N29" s="55" t="str">
        <f t="array" aca="1" ref="N29" ca="1">IF(ROW()-ROW($H$2:$H$111)+1&gt;ROWS($G$2:$G$111)-COUNTBLANK($G$2:$G$111),"",INDIRECT(ADDRESS(SMALL((IF($G$2:$G$111&lt;&gt;"",ROW($G$2:$G$111),ROW()+ROWS($G$2:$G$111))),ROW()-ROW($H$2:$H$111)+1),COLUMN($G$2:$G$111),4)))</f>
        <v/>
      </c>
      <c r="O29" s="121" t="str">
        <f t="array" aca="1" ref="O29" ca="1">IF(ROW()-ROW($I$2:$I$111)+1&gt;ROWS($H$2:$H$111)-COUNTBLANK($H$2:$H$111),"",INDIRECT(ADDRESS(SMALL((IF($H$2:$H$111&lt;&gt;"",ROW($H$2:$H$111),ROW()+ROWS($H$2:$H$111))),ROW()-ROW($I$2:$I$111)+1),COLUMN($H$2:$H$111),4)))</f>
        <v/>
      </c>
      <c r="P29" s="121" t="str">
        <f t="array" aca="1" ref="P29" ca="1">IF(ROW()-ROW($J$2:$J$111)+1&gt;ROWS($I$2:$I$111)-COUNTBLANK($I$2:$I$111),"",INDIRECT(ADDRESS(SMALL((IF($I$2:$I$111&lt;&gt;"",ROW($I$2:$I$111),ROW()+ROWS($I$2:$I$111))),ROW()-ROW($J$2:$J$111)+1),COLUMN($I$2:$I$111),4)))</f>
        <v/>
      </c>
    </row>
    <row r="30" spans="1:16" x14ac:dyDescent="0.25">
      <c r="D30" s="917"/>
      <c r="E30" s="194" t="str">
        <f>IF(H30="","","2017")</f>
        <v/>
      </c>
      <c r="F30" s="146" t="str">
        <f t="shared" ref="F30:F35" si="9">IF(H30="","","c")</f>
        <v/>
      </c>
      <c r="G30" s="146" t="str">
        <f t="shared" si="8"/>
        <v/>
      </c>
      <c r="H30" s="131" t="str">
        <f>IF(A6="relevant",IF(Matrix!T22&lt;Berechnung2!$G$39,Berechnung2!$L$39,""),"")</f>
        <v/>
      </c>
      <c r="I30" s="121" t="str">
        <f>IF(H30="","",VLOOKUP(F30,Berechnung2!$I$15:$J$25,2,FALSE))</f>
        <v/>
      </c>
      <c r="J30" s="132" t="str">
        <f t="shared" si="6"/>
        <v/>
      </c>
      <c r="L30" s="55" t="str">
        <f t="array" aca="1" ref="L30" ca="1">IF(ROW()-ROW($F$2:$F$111)+1&gt;ROWS($E$2:$E$111)-COUNTBLANK($E$2:$E$111),"",INDIRECT(ADDRESS(SMALL((IF($E$2:$E$111&gt;"",ROW($E$2:$E$111),ROW()+ROWS($E$2:$E$111))),ROW()-ROW($F$2:$F$111)+1),COLUMN($E$2:$E$111),4)))</f>
        <v/>
      </c>
      <c r="M30" s="55" t="str">
        <f t="array" aca="1" ref="M30" ca="1">IF(ROW()-ROW($G$2:$G$111)+1&gt;ROWS($F$2:$F$111)-COUNTBLANK($F$2:$F$111),"",INDIRECT(ADDRESS(SMALL((IF($F$2:$F$111&lt;&gt;"",ROW($F$2:$F$111),ROW()+ROWS($F$2:$F$111))),ROW()-ROW($G$2:$G$111)+1),COLUMN($F$2:$F$111),4)))</f>
        <v/>
      </c>
      <c r="N30" s="55" t="str">
        <f t="array" aca="1" ref="N30" ca="1">IF(ROW()-ROW($H$2:$H$111)+1&gt;ROWS($G$2:$G$111)-COUNTBLANK($G$2:$G$111),"",INDIRECT(ADDRESS(SMALL((IF($G$2:$G$111&lt;&gt;"",ROW($G$2:$G$111),ROW()+ROWS($G$2:$G$111))),ROW()-ROW($H$2:$H$111)+1),COLUMN($G$2:$G$111),4)))</f>
        <v/>
      </c>
      <c r="O30" s="121" t="str">
        <f t="array" aca="1" ref="O30" ca="1">IF(ROW()-ROW($I$2:$I$111)+1&gt;ROWS($H$2:$H$111)-COUNTBLANK($H$2:$H$111),"",INDIRECT(ADDRESS(SMALL((IF($H$2:$H$111&lt;&gt;"",ROW($H$2:$H$111),ROW()+ROWS($H$2:$H$111))),ROW()-ROW($I$2:$I$111)+1),COLUMN($H$2:$H$111),4)))</f>
        <v/>
      </c>
      <c r="P30" s="121" t="str">
        <f t="array" aca="1" ref="P30" ca="1">IF(ROW()-ROW($J$2:$J$111)+1&gt;ROWS($I$2:$I$111)-COUNTBLANK($I$2:$I$111),"",INDIRECT(ADDRESS(SMALL((IF($I$2:$I$111&lt;&gt;"",ROW($I$2:$I$111),ROW()+ROWS($I$2:$I$111))),ROW()-ROW($J$2:$J$111)+1),COLUMN($I$2:$I$111),4)))</f>
        <v/>
      </c>
    </row>
    <row r="31" spans="1:16" x14ac:dyDescent="0.25">
      <c r="D31" s="917"/>
      <c r="E31" s="194" t="str">
        <f>IF(H31="","","2018")</f>
        <v/>
      </c>
      <c r="F31" s="146" t="str">
        <f t="shared" si="9"/>
        <v/>
      </c>
      <c r="G31" s="146" t="str">
        <f t="shared" si="8"/>
        <v/>
      </c>
      <c r="H31" s="131" t="str">
        <f>IF(A7="relevant",IF(Matrix!T23&lt;Berechnung2!$G$39,Berechnung2!$L$39,""),"")</f>
        <v/>
      </c>
      <c r="I31" s="121" t="str">
        <f>IF(H31="","",VLOOKUP(F31,Berechnung2!$I$15:$J$25,2,FALSE))</f>
        <v/>
      </c>
      <c r="J31" s="132" t="str">
        <f t="shared" si="6"/>
        <v/>
      </c>
      <c r="L31" s="55" t="str">
        <f t="array" aca="1" ref="L31" ca="1">IF(ROW()-ROW($F$2:$F$111)+1&gt;ROWS($E$2:$E$111)-COUNTBLANK($E$2:$E$111),"",INDIRECT(ADDRESS(SMALL((IF($E$2:$E$111&gt;"",ROW($E$2:$E$111),ROW()+ROWS($E$2:$E$111))),ROW()-ROW($F$2:$F$111)+1),COLUMN($E$2:$E$111),4)))</f>
        <v/>
      </c>
      <c r="M31" s="55" t="str">
        <f t="array" aca="1" ref="M31" ca="1">IF(ROW()-ROW($G$2:$G$111)+1&gt;ROWS($F$2:$F$111)-COUNTBLANK($F$2:$F$111),"",INDIRECT(ADDRESS(SMALL((IF($F$2:$F$111&lt;&gt;"",ROW($F$2:$F$111),ROW()+ROWS($F$2:$F$111))),ROW()-ROW($G$2:$G$111)+1),COLUMN($F$2:$F$111),4)))</f>
        <v/>
      </c>
      <c r="N31" s="55" t="str">
        <f t="array" aca="1" ref="N31" ca="1">IF(ROW()-ROW($H$2:$H$111)+1&gt;ROWS($G$2:$G$111)-COUNTBLANK($G$2:$G$111),"",INDIRECT(ADDRESS(SMALL((IF($G$2:$G$111&lt;&gt;"",ROW($G$2:$G$111),ROW()+ROWS($G$2:$G$111))),ROW()-ROW($H$2:$H$111)+1),COLUMN($G$2:$G$111),4)))</f>
        <v/>
      </c>
      <c r="O31" s="121" t="str">
        <f t="array" aca="1" ref="O31" ca="1">IF(ROW()-ROW($I$2:$I$111)+1&gt;ROWS($H$2:$H$111)-COUNTBLANK($H$2:$H$111),"",INDIRECT(ADDRESS(SMALL((IF($H$2:$H$111&lt;&gt;"",ROW($H$2:$H$111),ROW()+ROWS($H$2:$H$111))),ROW()-ROW($I$2:$I$111)+1),COLUMN($H$2:$H$111),4)))</f>
        <v/>
      </c>
      <c r="P31" s="121" t="str">
        <f t="array" aca="1" ref="P31" ca="1">IF(ROW()-ROW($J$2:$J$111)+1&gt;ROWS($I$2:$I$111)-COUNTBLANK($I$2:$I$111),"",INDIRECT(ADDRESS(SMALL((IF($I$2:$I$111&lt;&gt;"",ROW($I$2:$I$111),ROW()+ROWS($I$2:$I$111))),ROW()-ROW($J$2:$J$111)+1),COLUMN($I$2:$I$111),4)))</f>
        <v/>
      </c>
    </row>
    <row r="32" spans="1:16" x14ac:dyDescent="0.25">
      <c r="D32" s="917"/>
      <c r="E32" s="194" t="str">
        <f>IF(H32="","","2019")</f>
        <v/>
      </c>
      <c r="F32" s="146" t="str">
        <f t="shared" si="9"/>
        <v/>
      </c>
      <c r="G32" s="146" t="str">
        <f t="shared" si="8"/>
        <v/>
      </c>
      <c r="H32" s="131" t="str">
        <f>IF(A8="relevant",IF(Matrix!T24&lt;Berechnung2!$G$39,Berechnung2!$L$39,""),"")</f>
        <v/>
      </c>
      <c r="I32" s="121" t="str">
        <f>IF(H32="","",VLOOKUP(F32,Berechnung2!$I$15:$J$25,2,FALSE))</f>
        <v/>
      </c>
      <c r="J32" s="132" t="str">
        <f t="shared" si="6"/>
        <v/>
      </c>
      <c r="L32" s="55" t="str">
        <f t="array" aca="1" ref="L32" ca="1">IF(ROW()-ROW($F$2:$F$111)+1&gt;ROWS($E$2:$E$111)-COUNTBLANK($E$2:$E$111),"",INDIRECT(ADDRESS(SMALL((IF($E$2:$E$111&gt;"",ROW($E$2:$E$111),ROW()+ROWS($E$2:$E$111))),ROW()-ROW($F$2:$F$111)+1),COLUMN($E$2:$E$111),4)))</f>
        <v/>
      </c>
      <c r="M32" s="55" t="str">
        <f t="array" aca="1" ref="M32" ca="1">IF(ROW()-ROW($G$2:$G$111)+1&gt;ROWS($F$2:$F$111)-COUNTBLANK($F$2:$F$111),"",INDIRECT(ADDRESS(SMALL((IF($F$2:$F$111&lt;&gt;"",ROW($F$2:$F$111),ROW()+ROWS($F$2:$F$111))),ROW()-ROW($G$2:$G$111)+1),COLUMN($F$2:$F$111),4)))</f>
        <v/>
      </c>
      <c r="N32" s="55" t="str">
        <f t="array" aca="1" ref="N32" ca="1">IF(ROW()-ROW($H$2:$H$111)+1&gt;ROWS($G$2:$G$111)-COUNTBLANK($G$2:$G$111),"",INDIRECT(ADDRESS(SMALL((IF($G$2:$G$111&lt;&gt;"",ROW($G$2:$G$111),ROW()+ROWS($G$2:$G$111))),ROW()-ROW($H$2:$H$111)+1),COLUMN($G$2:$G$111),4)))</f>
        <v/>
      </c>
      <c r="O32" s="121" t="str">
        <f t="array" aca="1" ref="O32" ca="1">IF(ROW()-ROW($I$2:$I$111)+1&gt;ROWS($H$2:$H$111)-COUNTBLANK($H$2:$H$111),"",INDIRECT(ADDRESS(SMALL((IF($H$2:$H$111&lt;&gt;"",ROW($H$2:$H$111),ROW()+ROWS($H$2:$H$111))),ROW()-ROW($I$2:$I$111)+1),COLUMN($H$2:$H$111),4)))</f>
        <v/>
      </c>
      <c r="P32" s="121" t="str">
        <f t="array" aca="1" ref="P32" ca="1">IF(ROW()-ROW($J$2:$J$111)+1&gt;ROWS($I$2:$I$111)-COUNTBLANK($I$2:$I$111),"",INDIRECT(ADDRESS(SMALL((IF($I$2:$I$111&lt;&gt;"",ROW($I$2:$I$111),ROW()+ROWS($I$2:$I$111))),ROW()-ROW($J$2:$J$111)+1),COLUMN($I$2:$I$111),4)))</f>
        <v/>
      </c>
    </row>
    <row r="33" spans="4:16" x14ac:dyDescent="0.25">
      <c r="D33" s="917"/>
      <c r="E33" s="194" t="str">
        <f>IF(H33="","","2020")</f>
        <v/>
      </c>
      <c r="F33" s="146" t="str">
        <f t="shared" si="9"/>
        <v/>
      </c>
      <c r="G33" s="146" t="str">
        <f t="shared" si="8"/>
        <v/>
      </c>
      <c r="H33" s="131" t="str">
        <f>IF(A9="relevant",IF(Matrix!T25&lt;Berechnung2!$G$39,Berechnung2!$L$39,""),"")</f>
        <v/>
      </c>
      <c r="I33" s="121" t="str">
        <f>IF(H33="","",VLOOKUP(F33,Berechnung2!$I$15:$J$25,2,FALSE))</f>
        <v/>
      </c>
      <c r="J33" s="132" t="str">
        <f t="shared" si="6"/>
        <v/>
      </c>
      <c r="L33" s="55" t="str">
        <f t="array" aca="1" ref="L33" ca="1">IF(ROW()-ROW($F$2:$F$111)+1&gt;ROWS($E$2:$E$111)-COUNTBLANK($E$2:$E$111),"",INDIRECT(ADDRESS(SMALL((IF($E$2:$E$111&gt;"",ROW($E$2:$E$111),ROW()+ROWS($E$2:$E$111))),ROW()-ROW($F$2:$F$111)+1),COLUMN($E$2:$E$111),4)))</f>
        <v/>
      </c>
      <c r="M33" s="55" t="str">
        <f t="array" aca="1" ref="M33" ca="1">IF(ROW()-ROW($G$2:$G$111)+1&gt;ROWS($F$2:$F$111)-COUNTBLANK($F$2:$F$111),"",INDIRECT(ADDRESS(SMALL((IF($F$2:$F$111&lt;&gt;"",ROW($F$2:$F$111),ROW()+ROWS($F$2:$F$111))),ROW()-ROW($G$2:$G$111)+1),COLUMN($F$2:$F$111),4)))</f>
        <v/>
      </c>
      <c r="N33" s="55" t="str">
        <f t="array" aca="1" ref="N33" ca="1">IF(ROW()-ROW($H$2:$H$111)+1&gt;ROWS($G$2:$G$111)-COUNTBLANK($G$2:$G$111),"",INDIRECT(ADDRESS(SMALL((IF($G$2:$G$111&lt;&gt;"",ROW($G$2:$G$111),ROW()+ROWS($G$2:$G$111))),ROW()-ROW($H$2:$H$111)+1),COLUMN($G$2:$G$111),4)))</f>
        <v/>
      </c>
      <c r="O33" s="121" t="str">
        <f t="array" aca="1" ref="O33" ca="1">IF(ROW()-ROW($I$2:$I$111)+1&gt;ROWS($H$2:$H$111)-COUNTBLANK($H$2:$H$111),"",INDIRECT(ADDRESS(SMALL((IF($H$2:$H$111&lt;&gt;"",ROW($H$2:$H$111),ROW()+ROWS($H$2:$H$111))),ROW()-ROW($I$2:$I$111)+1),COLUMN($H$2:$H$111),4)))</f>
        <v/>
      </c>
      <c r="P33" s="121" t="str">
        <f t="array" aca="1" ref="P33" ca="1">IF(ROW()-ROW($J$2:$J$111)+1&gt;ROWS($I$2:$I$111)-COUNTBLANK($I$2:$I$111),"",INDIRECT(ADDRESS(SMALL((IF($I$2:$I$111&lt;&gt;"",ROW($I$2:$I$111),ROW()+ROWS($I$2:$I$111))),ROW()-ROW($J$2:$J$111)+1),COLUMN($I$2:$I$111),4)))</f>
        <v/>
      </c>
    </row>
    <row r="34" spans="4:16" x14ac:dyDescent="0.25">
      <c r="D34" s="917"/>
      <c r="E34" s="194" t="str">
        <f>IF(H34="","","2021")</f>
        <v/>
      </c>
      <c r="F34" s="146" t="str">
        <f t="shared" si="9"/>
        <v/>
      </c>
      <c r="G34" s="146" t="str">
        <f t="shared" si="8"/>
        <v/>
      </c>
      <c r="H34" s="131" t="str">
        <f>IF(A10="relevant",IF(Matrix!T26&lt;Berechnung2!$G$39,Berechnung2!$L$39,""),"")</f>
        <v/>
      </c>
      <c r="I34" s="121" t="str">
        <f>IF(H34="","",VLOOKUP(F34,Berechnung2!$I$15:$J$25,2,FALSE))</f>
        <v/>
      </c>
      <c r="J34" s="132" t="str">
        <f t="shared" si="6"/>
        <v/>
      </c>
      <c r="L34" s="55" t="str">
        <f t="array" aca="1" ref="L34" ca="1">IF(ROW()-ROW($F$2:$F$111)+1&gt;ROWS($E$2:$E$111)-COUNTBLANK($E$2:$E$111),"",INDIRECT(ADDRESS(SMALL((IF($E$2:$E$111&gt;"",ROW($E$2:$E$111),ROW()+ROWS($E$2:$E$111))),ROW()-ROW($F$2:$F$111)+1),COLUMN($E$2:$E$111),4)))</f>
        <v/>
      </c>
      <c r="M34" s="55" t="str">
        <f t="array" aca="1" ref="M34" ca="1">IF(ROW()-ROW($G$2:$G$111)+1&gt;ROWS($F$2:$F$111)-COUNTBLANK($F$2:$F$111),"",INDIRECT(ADDRESS(SMALL((IF($F$2:$F$111&lt;&gt;"",ROW($F$2:$F$111),ROW()+ROWS($F$2:$F$111))),ROW()-ROW($G$2:$G$111)+1),COLUMN($F$2:$F$111),4)))</f>
        <v/>
      </c>
      <c r="N34" s="55" t="str">
        <f t="array" aca="1" ref="N34" ca="1">IF(ROW()-ROW($H$2:$H$111)+1&gt;ROWS($G$2:$G$111)-COUNTBLANK($G$2:$G$111),"",INDIRECT(ADDRESS(SMALL((IF($G$2:$G$111&lt;&gt;"",ROW($G$2:$G$111),ROW()+ROWS($G$2:$G$111))),ROW()-ROW($H$2:$H$111)+1),COLUMN($G$2:$G$111),4)))</f>
        <v/>
      </c>
      <c r="O34" s="121" t="str">
        <f t="array" aca="1" ref="O34" ca="1">IF(ROW()-ROW($I$2:$I$111)+1&gt;ROWS($H$2:$H$111)-COUNTBLANK($H$2:$H$111),"",INDIRECT(ADDRESS(SMALL((IF($H$2:$H$111&lt;&gt;"",ROW($H$2:$H$111),ROW()+ROWS($H$2:$H$111))),ROW()-ROW($I$2:$I$111)+1),COLUMN($H$2:$H$111),4)))</f>
        <v/>
      </c>
      <c r="P34" s="121" t="str">
        <f t="array" aca="1" ref="P34" ca="1">IF(ROW()-ROW($J$2:$J$111)+1&gt;ROWS($I$2:$I$111)-COUNTBLANK($I$2:$I$111),"",INDIRECT(ADDRESS(SMALL((IF($I$2:$I$111&lt;&gt;"",ROW($I$2:$I$111),ROW()+ROWS($I$2:$I$111))),ROW()-ROW($J$2:$J$111)+1),COLUMN($I$2:$I$111),4)))</f>
        <v/>
      </c>
    </row>
    <row r="35" spans="4:16" x14ac:dyDescent="0.25">
      <c r="D35" s="917"/>
      <c r="E35" s="194" t="str">
        <f>IF(H35="","","2022")</f>
        <v/>
      </c>
      <c r="F35" s="146" t="str">
        <f t="shared" si="9"/>
        <v/>
      </c>
      <c r="G35" s="146" t="str">
        <f t="shared" si="8"/>
        <v/>
      </c>
      <c r="H35" s="131" t="str">
        <f>IF(A11="relevant",IF(Matrix!T27&lt;Berechnung2!$G$39,Berechnung2!$L$39,""),"")</f>
        <v/>
      </c>
      <c r="I35" s="121" t="str">
        <f>IF(H35="","",VLOOKUP(F35,Berechnung2!$I$15:$J$25,2,FALSE))</f>
        <v/>
      </c>
      <c r="J35" s="132" t="str">
        <f t="shared" si="6"/>
        <v/>
      </c>
      <c r="L35" s="55" t="str">
        <f t="array" aca="1" ref="L35" ca="1">IF(ROW()-ROW($F$2:$F$111)+1&gt;ROWS($E$2:$E$111)-COUNTBLANK($E$2:$E$111),"",INDIRECT(ADDRESS(SMALL((IF($E$2:$E$111&gt;"",ROW($E$2:$E$111),ROW()+ROWS($E$2:$E$111))),ROW()-ROW($F$2:$F$111)+1),COLUMN($E$2:$E$111),4)))</f>
        <v/>
      </c>
      <c r="M35" s="55" t="str">
        <f t="array" aca="1" ref="M35" ca="1">IF(ROW()-ROW($G$2:$G$111)+1&gt;ROWS($F$2:$F$111)-COUNTBLANK($F$2:$F$111),"",INDIRECT(ADDRESS(SMALL((IF($F$2:$F$111&lt;&gt;"",ROW($F$2:$F$111),ROW()+ROWS($F$2:$F$111))),ROW()-ROW($G$2:$G$111)+1),COLUMN($F$2:$F$111),4)))</f>
        <v/>
      </c>
      <c r="N35" s="55" t="str">
        <f t="array" aca="1" ref="N35" ca="1">IF(ROW()-ROW($H$2:$H$111)+1&gt;ROWS($G$2:$G$111)-COUNTBLANK($G$2:$G$111),"",INDIRECT(ADDRESS(SMALL((IF($G$2:$G$111&lt;&gt;"",ROW($G$2:$G$111),ROW()+ROWS($G$2:$G$111))),ROW()-ROW($H$2:$H$111)+1),COLUMN($G$2:$G$111),4)))</f>
        <v/>
      </c>
      <c r="O35" s="121" t="str">
        <f t="array" aca="1" ref="O35" ca="1">IF(ROW()-ROW($I$2:$I$111)+1&gt;ROWS($H$2:$H$111)-COUNTBLANK($H$2:$H$111),"",INDIRECT(ADDRESS(SMALL((IF($H$2:$H$111&lt;&gt;"",ROW($H$2:$H$111),ROW()+ROWS($H$2:$H$111))),ROW()-ROW($I$2:$I$111)+1),COLUMN($H$2:$H$111),4)))</f>
        <v/>
      </c>
      <c r="P35" s="121" t="str">
        <f t="array" aca="1" ref="P35" ca="1">IF(ROW()-ROW($J$2:$J$111)+1&gt;ROWS($I$2:$I$111)-COUNTBLANK($I$2:$I$111),"",INDIRECT(ADDRESS(SMALL((IF($I$2:$I$111&lt;&gt;"",ROW($I$2:$I$111),ROW()+ROWS($I$2:$I$111))),ROW()-ROW($J$2:$J$111)+1),COLUMN($I$2:$I$111),4)))</f>
        <v/>
      </c>
    </row>
    <row r="36" spans="4:16" x14ac:dyDescent="0.25">
      <c r="D36" s="181"/>
      <c r="E36" s="194" t="str">
        <f>IF(H36="","","2023")</f>
        <v/>
      </c>
      <c r="F36" s="415"/>
      <c r="G36" s="415"/>
      <c r="H36" s="416"/>
      <c r="I36" s="417"/>
      <c r="J36" s="418"/>
      <c r="L36" s="55" t="str">
        <f t="array" aca="1" ref="L36" ca="1">IF(ROW()-ROW($F$2:$F$111)+1&gt;ROWS($E$2:$E$111)-COUNTBLANK($E$2:$E$111),"",INDIRECT(ADDRESS(SMALL((IF($E$2:$E$111&gt;"",ROW($E$2:$E$111),ROW()+ROWS($E$2:$E$111))),ROW()-ROW($F$2:$F$111)+1),COLUMN($E$2:$E$111),4)))</f>
        <v/>
      </c>
      <c r="M36" s="55" t="str">
        <f t="array" aca="1" ref="M36" ca="1">IF(ROW()-ROW($G$2:$G$111)+1&gt;ROWS($F$2:$F$111)-COUNTBLANK($F$2:$F$111),"",INDIRECT(ADDRESS(SMALL((IF($F$2:$F$111&lt;&gt;"",ROW($F$2:$F$111),ROW()+ROWS($F$2:$F$111))),ROW()-ROW($G$2:$G$111)+1),COLUMN($F$2:$F$111),4)))</f>
        <v/>
      </c>
      <c r="N36" s="55" t="str">
        <f t="array" aca="1" ref="N36" ca="1">IF(ROW()-ROW($H$2:$H$111)+1&gt;ROWS($G$2:$G$111)-COUNTBLANK($G$2:$G$111),"",INDIRECT(ADDRESS(SMALL((IF($G$2:$G$111&lt;&gt;"",ROW($G$2:$G$111),ROW()+ROWS($G$2:$G$111))),ROW()-ROW($H$2:$H$111)+1),COLUMN($G$2:$G$111),4)))</f>
        <v/>
      </c>
      <c r="O36" s="121" t="str">
        <f t="array" aca="1" ref="O36" ca="1">IF(ROW()-ROW($I$2:$I$111)+1&gt;ROWS($H$2:$H$111)-COUNTBLANK($H$2:$H$111),"",INDIRECT(ADDRESS(SMALL((IF($H$2:$H$111&lt;&gt;"",ROW($H$2:$H$111),ROW()+ROWS($H$2:$H$111))),ROW()-ROW($I$2:$I$111)+1),COLUMN($H$2:$H$111),4)))</f>
        <v/>
      </c>
      <c r="P36" s="121" t="str">
        <f t="array" aca="1" ref="P36" ca="1">IF(ROW()-ROW($J$2:$J$111)+1&gt;ROWS($I$2:$I$111)-COUNTBLANK($I$2:$I$111),"",INDIRECT(ADDRESS(SMALL((IF($I$2:$I$111&lt;&gt;"",ROW($I$2:$I$111),ROW()+ROWS($I$2:$I$111))),ROW()-ROW($J$2:$J$111)+1),COLUMN($I$2:$I$111),4)))</f>
        <v/>
      </c>
    </row>
    <row r="37" spans="4:16" ht="12" thickBot="1" x14ac:dyDescent="0.3">
      <c r="D37" s="181" t="s">
        <v>33</v>
      </c>
      <c r="E37" s="194" t="str">
        <f>IF(H37="","","2024")</f>
        <v/>
      </c>
      <c r="F37" s="419"/>
      <c r="G37" s="419"/>
      <c r="H37" s="420"/>
      <c r="I37" s="421"/>
      <c r="J37" s="422"/>
      <c r="L37" s="55" t="str">
        <f t="array" aca="1" ref="L37" ca="1">IF(ROW()-ROW($F$2:$F$111)+1&gt;ROWS($E$2:$E$111)-COUNTBLANK($E$2:$E$111),"",INDIRECT(ADDRESS(SMALL((IF($E$2:$E$111&gt;"",ROW($E$2:$E$111),ROW()+ROWS($E$2:$E$111))),ROW()-ROW($F$2:$F$111)+1),COLUMN($E$2:$E$111),4)))</f>
        <v/>
      </c>
      <c r="M37" s="55" t="str">
        <f t="array" aca="1" ref="M37" ca="1">IF(ROW()-ROW($G$2:$G$111)+1&gt;ROWS($F$2:$F$111)-COUNTBLANK($F$2:$F$111),"",INDIRECT(ADDRESS(SMALL((IF($F$2:$F$111&lt;&gt;"",ROW($F$2:$F$111),ROW()+ROWS($F$2:$F$111))),ROW()-ROW($G$2:$G$111)+1),COLUMN($F$2:$F$111),4)))</f>
        <v/>
      </c>
      <c r="N37" s="55" t="str">
        <f t="array" aca="1" ref="N37" ca="1">IF(ROW()-ROW($H$2:$H$111)+1&gt;ROWS($G$2:$G$111)-COUNTBLANK($G$2:$G$111),"",INDIRECT(ADDRESS(SMALL((IF($G$2:$G$111&lt;&gt;"",ROW($G$2:$G$111),ROW()+ROWS($G$2:$G$111))),ROW()-ROW($H$2:$H$111)+1),COLUMN($G$2:$G$111),4)))</f>
        <v/>
      </c>
      <c r="O37" s="121" t="str">
        <f t="array" aca="1" ref="O37" ca="1">IF(ROW()-ROW($I$2:$I$111)+1&gt;ROWS($H$2:$H$111)-COUNTBLANK($H$2:$H$111),"",INDIRECT(ADDRESS(SMALL((IF($H$2:$H$111&lt;&gt;"",ROW($H$2:$H$111),ROW()+ROWS($H$2:$H$111))),ROW()-ROW($I$2:$I$111)+1),COLUMN($H$2:$H$111),4)))</f>
        <v/>
      </c>
      <c r="P37" s="121" t="str">
        <f t="array" aca="1" ref="P37" ca="1">IF(ROW()-ROW($J$2:$J$111)+1&gt;ROWS($I$2:$I$111)-COUNTBLANK($I$2:$I$111),"",INDIRECT(ADDRESS(SMALL((IF($I$2:$I$111&lt;&gt;"",ROW($I$2:$I$111),ROW()+ROWS($I$2:$I$111))),ROW()-ROW($J$2:$J$111)+1),COLUMN($I$2:$I$111),4)))</f>
        <v/>
      </c>
    </row>
    <row r="38" spans="4:16" x14ac:dyDescent="0.25">
      <c r="D38" s="128" t="s">
        <v>461</v>
      </c>
      <c r="E38" s="143" t="str">
        <f>IF(H38="","","2013")</f>
        <v/>
      </c>
      <c r="F38" s="144" t="str">
        <f>IF(H38="","","n")</f>
        <v/>
      </c>
      <c r="G38" s="144" t="str">
        <f t="shared" si="8"/>
        <v/>
      </c>
      <c r="H38" s="410" t="str">
        <f>IF(A2="relevant",IF(Matrix!N18&lt;Berechnung2!$G$37,Berechnung2!$L$37,""),"")</f>
        <v/>
      </c>
      <c r="I38" s="134" t="str">
        <f>IF(H38="","",VLOOKUP(F38,Berechnung2!$I$15:$J$25,2,FALSE))</f>
        <v/>
      </c>
      <c r="J38" s="133" t="str">
        <f t="shared" ref="J38:J59" si="10">IF(H38&lt;&gt;"",1,"")</f>
        <v/>
      </c>
      <c r="L38" s="55" t="str">
        <f t="array" aca="1" ref="L38" ca="1">IF(ROW()-ROW($F$2:$F$111)+1&gt;ROWS($E$2:$E$111)-COUNTBLANK($E$2:$E$111),"",INDIRECT(ADDRESS(SMALL((IF($E$2:$E$111&gt;"",ROW($E$2:$E$111),ROW()+ROWS($E$2:$E$111))),ROW()-ROW($F$2:$F$111)+1),COLUMN($E$2:$E$111),4)))</f>
        <v/>
      </c>
      <c r="M38" s="55" t="str">
        <f t="array" aca="1" ref="M38" ca="1">IF(ROW()-ROW($G$2:$G$111)+1&gt;ROWS($F$2:$F$111)-COUNTBLANK($F$2:$F$111),"",INDIRECT(ADDRESS(SMALL((IF($F$2:$F$111&lt;&gt;"",ROW($F$2:$F$111),ROW()+ROWS($F$2:$F$111))),ROW()-ROW($G$2:$G$111)+1),COLUMN($F$2:$F$111),4)))</f>
        <v/>
      </c>
      <c r="N38" s="55" t="str">
        <f t="array" aca="1" ref="N38" ca="1">IF(ROW()-ROW($H$2:$H$111)+1&gt;ROWS($G$2:$G$111)-COUNTBLANK($G$2:$G$111),"",INDIRECT(ADDRESS(SMALL((IF($G$2:$G$111&lt;&gt;"",ROW($G$2:$G$111),ROW()+ROWS($G$2:$G$111))),ROW()-ROW($H$2:$H$111)+1),COLUMN($G$2:$G$111),4)))</f>
        <v/>
      </c>
      <c r="O38" s="121" t="str">
        <f t="array" aca="1" ref="O38" ca="1">IF(ROW()-ROW($I$2:$I$111)+1&gt;ROWS($H$2:$H$111)-COUNTBLANK($H$2:$H$111),"",INDIRECT(ADDRESS(SMALL((IF($H$2:$H$111&lt;&gt;"",ROW($H$2:$H$111),ROW()+ROWS($H$2:$H$111))),ROW()-ROW($I$2:$I$111)+1),COLUMN($H$2:$H$111),4)))</f>
        <v/>
      </c>
      <c r="P38" s="121" t="str">
        <f t="array" aca="1" ref="P38" ca="1">IF(ROW()-ROW($J$2:$J$111)+1&gt;ROWS($I$2:$I$111)-COUNTBLANK($I$2:$I$111),"",INDIRECT(ADDRESS(SMALL((IF($I$2:$I$111&lt;&gt;"",ROW($I$2:$I$111),ROW()+ROWS($I$2:$I$111))),ROW()-ROW($J$2:$J$111)+1),COLUMN($I$2:$I$111),4)))</f>
        <v/>
      </c>
    </row>
    <row r="39" spans="4:16" x14ac:dyDescent="0.25">
      <c r="D39" s="917" t="s">
        <v>83</v>
      </c>
      <c r="E39" s="145" t="str">
        <f>IF(H39="","","2014")</f>
        <v/>
      </c>
      <c r="F39" s="146" t="str">
        <f t="shared" ref="F39:F47" si="11">IF(H39="","","n")</f>
        <v/>
      </c>
      <c r="G39" s="146" t="str">
        <f t="shared" si="8"/>
        <v/>
      </c>
      <c r="H39" s="131" t="str">
        <f>IF(A3="relevant",IF(Matrix!N19&lt;Berechnung2!$G$37,Berechnung2!$L$37,""),"")</f>
        <v/>
      </c>
      <c r="I39" s="121" t="str">
        <f>IF(H39="","",VLOOKUP(F39,Berechnung2!$I$15:$J$25,2,FALSE))</f>
        <v/>
      </c>
      <c r="J39" s="132" t="str">
        <f t="shared" si="10"/>
        <v/>
      </c>
      <c r="L39" s="55" t="str">
        <f t="array" aca="1" ref="L39" ca="1">IF(ROW()-ROW($F$2:$F$111)+1&gt;ROWS($E$2:$E$111)-COUNTBLANK($E$2:$E$111),"",INDIRECT(ADDRESS(SMALL((IF($E$2:$E$111&gt;"",ROW($E$2:$E$111),ROW()+ROWS($E$2:$E$111))),ROW()-ROW($F$2:$F$111)+1),COLUMN($E$2:$E$111),4)))</f>
        <v/>
      </c>
      <c r="M39" s="55" t="str">
        <f t="array" aca="1" ref="M39" ca="1">IF(ROW()-ROW($G$2:$G$111)+1&gt;ROWS($F$2:$F$111)-COUNTBLANK($F$2:$F$111),"",INDIRECT(ADDRESS(SMALL((IF($F$2:$F$111&lt;&gt;"",ROW($F$2:$F$111),ROW()+ROWS($F$2:$F$111))),ROW()-ROW($G$2:$G$111)+1),COLUMN($F$2:$F$111),4)))</f>
        <v/>
      </c>
      <c r="N39" s="55" t="str">
        <f t="array" aca="1" ref="N39" ca="1">IF(ROW()-ROW($H$2:$H$111)+1&gt;ROWS($G$2:$G$111)-COUNTBLANK($G$2:$G$111),"",INDIRECT(ADDRESS(SMALL((IF($G$2:$G$111&lt;&gt;"",ROW($G$2:$G$111),ROW()+ROWS($G$2:$G$111))),ROW()-ROW($H$2:$H$111)+1),COLUMN($G$2:$G$111),4)))</f>
        <v/>
      </c>
      <c r="O39" s="121" t="str">
        <f t="array" aca="1" ref="O39" ca="1">IF(ROW()-ROW($I$2:$I$111)+1&gt;ROWS($H$2:$H$111)-COUNTBLANK($H$2:$H$111),"",INDIRECT(ADDRESS(SMALL((IF($H$2:$H$111&lt;&gt;"",ROW($H$2:$H$111),ROW()+ROWS($H$2:$H$111))),ROW()-ROW($I$2:$I$111)+1),COLUMN($H$2:$H$111),4)))</f>
        <v/>
      </c>
      <c r="P39" s="121" t="str">
        <f t="array" aca="1" ref="P39" ca="1">IF(ROW()-ROW($J$2:$J$111)+1&gt;ROWS($I$2:$I$111)-COUNTBLANK($I$2:$I$111),"",INDIRECT(ADDRESS(SMALL((IF($I$2:$I$111&lt;&gt;"",ROW($I$2:$I$111),ROW()+ROWS($I$2:$I$111))),ROW()-ROW($J$2:$J$111)+1),COLUMN($I$2:$I$111),4)))</f>
        <v/>
      </c>
    </row>
    <row r="40" spans="4:16" x14ac:dyDescent="0.25">
      <c r="D40" s="917"/>
      <c r="E40" s="145" t="str">
        <f>IF(H40="","","2015")</f>
        <v/>
      </c>
      <c r="F40" s="146" t="str">
        <f t="shared" si="11"/>
        <v/>
      </c>
      <c r="G40" s="146" t="str">
        <f t="shared" si="8"/>
        <v/>
      </c>
      <c r="H40" s="131" t="str">
        <f>IF(A4="relevant",IF(Matrix!N20&lt;Berechnung2!$G$37,Berechnung2!$L$37,""),"")</f>
        <v/>
      </c>
      <c r="I40" s="121" t="str">
        <f>IF(H40="","",VLOOKUP(F40,Berechnung2!$I$15:$J$25,2,FALSE))</f>
        <v/>
      </c>
      <c r="J40" s="132" t="str">
        <f t="shared" si="10"/>
        <v/>
      </c>
      <c r="L40" s="55" t="str">
        <f t="array" aca="1" ref="L40" ca="1">IF(ROW()-ROW($F$2:$F$111)+1&gt;ROWS($E$2:$E$111)-COUNTBLANK($E$2:$E$111),"",INDIRECT(ADDRESS(SMALL((IF($E$2:$E$111&gt;"",ROW($E$2:$E$111),ROW()+ROWS($E$2:$E$111))),ROW()-ROW($F$2:$F$111)+1),COLUMN($E$2:$E$111),4)))</f>
        <v/>
      </c>
      <c r="M40" s="55" t="str">
        <f t="array" aca="1" ref="M40" ca="1">IF(ROW()-ROW($G$2:$G$111)+1&gt;ROWS($F$2:$F$111)-COUNTBLANK($F$2:$F$111),"",INDIRECT(ADDRESS(SMALL((IF($F$2:$F$111&lt;&gt;"",ROW($F$2:$F$111),ROW()+ROWS($F$2:$F$111))),ROW()-ROW($G$2:$G$111)+1),COLUMN($F$2:$F$111),4)))</f>
        <v/>
      </c>
      <c r="N40" s="55" t="str">
        <f t="array" aca="1" ref="N40" ca="1">IF(ROW()-ROW($H$2:$H$111)+1&gt;ROWS($G$2:$G$111)-COUNTBLANK($G$2:$G$111),"",INDIRECT(ADDRESS(SMALL((IF($G$2:$G$111&lt;&gt;"",ROW($G$2:$G$111),ROW()+ROWS($G$2:$G$111))),ROW()-ROW($H$2:$H$111)+1),COLUMN($G$2:$G$111),4)))</f>
        <v/>
      </c>
      <c r="O40" s="121" t="str">
        <f t="array" aca="1" ref="O40" ca="1">IF(ROW()-ROW($I$2:$I$111)+1&gt;ROWS($H$2:$H$111)-COUNTBLANK($H$2:$H$111),"",INDIRECT(ADDRESS(SMALL((IF($H$2:$H$111&lt;&gt;"",ROW($H$2:$H$111),ROW()+ROWS($H$2:$H$111))),ROW()-ROW($I$2:$I$111)+1),COLUMN($H$2:$H$111),4)))</f>
        <v/>
      </c>
      <c r="P40" s="121" t="str">
        <f t="array" aca="1" ref="P40" ca="1">IF(ROW()-ROW($J$2:$J$111)+1&gt;ROWS($I$2:$I$111)-COUNTBLANK($I$2:$I$111),"",INDIRECT(ADDRESS(SMALL((IF($I$2:$I$111&lt;&gt;"",ROW($I$2:$I$111),ROW()+ROWS($I$2:$I$111))),ROW()-ROW($J$2:$J$111)+1),COLUMN($I$2:$I$111),4)))</f>
        <v/>
      </c>
    </row>
    <row r="41" spans="4:16" x14ac:dyDescent="0.25">
      <c r="D41" s="917"/>
      <c r="E41" s="145" t="str">
        <f>IF(H41="","","2016")</f>
        <v/>
      </c>
      <c r="F41" s="146" t="str">
        <f t="shared" si="11"/>
        <v/>
      </c>
      <c r="G41" s="146" t="str">
        <f t="shared" si="8"/>
        <v/>
      </c>
      <c r="H41" s="131" t="str">
        <f>IF(A5="relevant",IF(Matrix!N21&lt;Berechnung2!$G$37,Berechnung2!$L$37,""),"")</f>
        <v/>
      </c>
      <c r="I41" s="121" t="str">
        <f>IF(H41="","",VLOOKUP(F41,Berechnung2!$I$15:$J$25,2,FALSE))</f>
        <v/>
      </c>
      <c r="J41" s="132" t="str">
        <f t="shared" si="10"/>
        <v/>
      </c>
      <c r="L41" s="55" t="str">
        <f t="array" aca="1" ref="L41" ca="1">IF(ROW()-ROW($F$2:$F$111)+1&gt;ROWS($E$2:$E$111)-COUNTBLANK($E$2:$E$111),"",INDIRECT(ADDRESS(SMALL((IF($E$2:$E$111&gt;"",ROW($E$2:$E$111),ROW()+ROWS($E$2:$E$111))),ROW()-ROW($F$2:$F$111)+1),COLUMN($E$2:$E$111),4)))</f>
        <v/>
      </c>
      <c r="M41" s="55" t="str">
        <f t="array" aca="1" ref="M41" ca="1">IF(ROW()-ROW($G$2:$G$111)+1&gt;ROWS($F$2:$F$111)-COUNTBLANK($F$2:$F$111),"",INDIRECT(ADDRESS(SMALL((IF($F$2:$F$111&lt;&gt;"",ROW($F$2:$F$111),ROW()+ROWS($F$2:$F$111))),ROW()-ROW($G$2:$G$111)+1),COLUMN($F$2:$F$111),4)))</f>
        <v/>
      </c>
      <c r="N41" s="55" t="str">
        <f t="array" aca="1" ref="N41" ca="1">IF(ROW()-ROW($H$2:$H$111)+1&gt;ROWS($G$2:$G$111)-COUNTBLANK($G$2:$G$111),"",INDIRECT(ADDRESS(SMALL((IF($G$2:$G$111&lt;&gt;"",ROW($G$2:$G$111),ROW()+ROWS($G$2:$G$111))),ROW()-ROW($H$2:$H$111)+1),COLUMN($G$2:$G$111),4)))</f>
        <v/>
      </c>
      <c r="O41" s="121" t="str">
        <f t="array" aca="1" ref="O41" ca="1">IF(ROW()-ROW($I$2:$I$111)+1&gt;ROWS($H$2:$H$111)-COUNTBLANK($H$2:$H$111),"",INDIRECT(ADDRESS(SMALL((IF($H$2:$H$111&lt;&gt;"",ROW($H$2:$H$111),ROW()+ROWS($H$2:$H$111))),ROW()-ROW($I$2:$I$111)+1),COLUMN($H$2:$H$111),4)))</f>
        <v/>
      </c>
      <c r="P41" s="121" t="str">
        <f t="array" aca="1" ref="P41" ca="1">IF(ROW()-ROW($J$2:$J$111)+1&gt;ROWS($I$2:$I$111)-COUNTBLANK($I$2:$I$111),"",INDIRECT(ADDRESS(SMALL((IF($I$2:$I$111&lt;&gt;"",ROW($I$2:$I$111),ROW()+ROWS($I$2:$I$111))),ROW()-ROW($J$2:$J$111)+1),COLUMN($I$2:$I$111),4)))</f>
        <v/>
      </c>
    </row>
    <row r="42" spans="4:16" x14ac:dyDescent="0.25">
      <c r="D42" s="917"/>
      <c r="E42" s="145" t="str">
        <f>IF(H42="","","2017")</f>
        <v/>
      </c>
      <c r="F42" s="146" t="str">
        <f t="shared" si="11"/>
        <v/>
      </c>
      <c r="G42" s="146" t="str">
        <f t="shared" si="8"/>
        <v/>
      </c>
      <c r="H42" s="131" t="str">
        <f>IF(A6="relevant",IF(Matrix!N22&lt;Berechnung2!$G$37,Berechnung2!$L$37,""),"")</f>
        <v/>
      </c>
      <c r="I42" s="121" t="str">
        <f>IF(H42="","",VLOOKUP(F42,Berechnung2!$I$15:$J$25,2,FALSE))</f>
        <v/>
      </c>
      <c r="J42" s="132" t="str">
        <f t="shared" si="10"/>
        <v/>
      </c>
      <c r="L42" s="55" t="str">
        <f t="array" aca="1" ref="L42" ca="1">IF(ROW()-ROW($F$2:$F$111)+1&gt;ROWS($E$2:$E$111)-COUNTBLANK($E$2:$E$111),"",INDIRECT(ADDRESS(SMALL((IF($E$2:$E$111&gt;"",ROW($E$2:$E$111),ROW()+ROWS($E$2:$E$111))),ROW()-ROW($F$2:$F$111)+1),COLUMN($E$2:$E$111),4)))</f>
        <v/>
      </c>
      <c r="M42" s="55" t="str">
        <f t="array" aca="1" ref="M42" ca="1">IF(ROW()-ROW($G$2:$G$111)+1&gt;ROWS($F$2:$F$111)-COUNTBLANK($F$2:$F$111),"",INDIRECT(ADDRESS(SMALL((IF($F$2:$F$111&lt;&gt;"",ROW($F$2:$F$111),ROW()+ROWS($F$2:$F$111))),ROW()-ROW($G$2:$G$111)+1),COLUMN($F$2:$F$111),4)))</f>
        <v/>
      </c>
      <c r="N42" s="55" t="str">
        <f t="array" aca="1" ref="N42" ca="1">IF(ROW()-ROW($H$2:$H$111)+1&gt;ROWS($G$2:$G$111)-COUNTBLANK($G$2:$G$111),"",INDIRECT(ADDRESS(SMALL((IF($G$2:$G$111&lt;&gt;"",ROW($G$2:$G$111),ROW()+ROWS($G$2:$G$111))),ROW()-ROW($H$2:$H$111)+1),COLUMN($G$2:$G$111),4)))</f>
        <v/>
      </c>
      <c r="O42" s="121" t="str">
        <f t="array" aca="1" ref="O42" ca="1">IF(ROW()-ROW($I$2:$I$111)+1&gt;ROWS($H$2:$H$111)-COUNTBLANK($H$2:$H$111),"",INDIRECT(ADDRESS(SMALL((IF($H$2:$H$111&lt;&gt;"",ROW($H$2:$H$111),ROW()+ROWS($H$2:$H$111))),ROW()-ROW($I$2:$I$111)+1),COLUMN($H$2:$H$111),4)))</f>
        <v/>
      </c>
      <c r="P42" s="121" t="str">
        <f t="array" aca="1" ref="P42" ca="1">IF(ROW()-ROW($J$2:$J$111)+1&gt;ROWS($I$2:$I$111)-COUNTBLANK($I$2:$I$111),"",INDIRECT(ADDRESS(SMALL((IF($I$2:$I$111&lt;&gt;"",ROW($I$2:$I$111),ROW()+ROWS($I$2:$I$111))),ROW()-ROW($J$2:$J$111)+1),COLUMN($I$2:$I$111),4)))</f>
        <v/>
      </c>
    </row>
    <row r="43" spans="4:16" x14ac:dyDescent="0.25">
      <c r="D43" s="917"/>
      <c r="E43" s="145" t="str">
        <f>IF(H43="","","2018")</f>
        <v/>
      </c>
      <c r="F43" s="146" t="str">
        <f t="shared" si="11"/>
        <v/>
      </c>
      <c r="G43" s="146" t="str">
        <f t="shared" si="8"/>
        <v/>
      </c>
      <c r="H43" s="131" t="str">
        <f>IF(A7="relevant",IF(Matrix!N23&lt;Berechnung2!$G$37,Berechnung2!$L$37,""),"")</f>
        <v/>
      </c>
      <c r="I43" s="121" t="str">
        <f>IF(H43="","",VLOOKUP(F43,Berechnung2!$I$15:$J$25,2,FALSE))</f>
        <v/>
      </c>
      <c r="J43" s="132" t="str">
        <f t="shared" si="10"/>
        <v/>
      </c>
      <c r="L43" s="55" t="str">
        <f t="array" aca="1" ref="L43" ca="1">IF(ROW()-ROW($F$2:$F$111)+1&gt;ROWS($E$2:$E$111)-COUNTBLANK($E$2:$E$111),"",INDIRECT(ADDRESS(SMALL((IF($E$2:$E$111&gt;"",ROW($E$2:$E$111),ROW()+ROWS($E$2:$E$111))),ROW()-ROW($F$2:$F$111)+1),COLUMN($E$2:$E$111),4)))</f>
        <v/>
      </c>
      <c r="M43" s="55" t="str">
        <f t="array" aca="1" ref="M43" ca="1">IF(ROW()-ROW($G$2:$G$111)+1&gt;ROWS($F$2:$F$111)-COUNTBLANK($F$2:$F$111),"",INDIRECT(ADDRESS(SMALL((IF($F$2:$F$111&lt;&gt;"",ROW($F$2:$F$111),ROW()+ROWS($F$2:$F$111))),ROW()-ROW($G$2:$G$111)+1),COLUMN($F$2:$F$111),4)))</f>
        <v/>
      </c>
      <c r="N43" s="55" t="str">
        <f t="array" aca="1" ref="N43" ca="1">IF(ROW()-ROW($H$2:$H$111)+1&gt;ROWS($G$2:$G$111)-COUNTBLANK($G$2:$G$111),"",INDIRECT(ADDRESS(SMALL((IF($G$2:$G$111&lt;&gt;"",ROW($G$2:$G$111),ROW()+ROWS($G$2:$G$111))),ROW()-ROW($H$2:$H$111)+1),COLUMN($G$2:$G$111),4)))</f>
        <v/>
      </c>
      <c r="O43" s="121" t="str">
        <f t="array" aca="1" ref="O43" ca="1">IF(ROW()-ROW($I$2:$I$111)+1&gt;ROWS($H$2:$H$111)-COUNTBLANK($H$2:$H$111),"",INDIRECT(ADDRESS(SMALL((IF($H$2:$H$111&lt;&gt;"",ROW($H$2:$H$111),ROW()+ROWS($H$2:$H$111))),ROW()-ROW($I$2:$I$111)+1),COLUMN($H$2:$H$111),4)))</f>
        <v/>
      </c>
      <c r="P43" s="121" t="str">
        <f t="array" aca="1" ref="P43" ca="1">IF(ROW()-ROW($J$2:$J$111)+1&gt;ROWS($I$2:$I$111)-COUNTBLANK($I$2:$I$111),"",INDIRECT(ADDRESS(SMALL((IF($I$2:$I$111&lt;&gt;"",ROW($I$2:$I$111),ROW()+ROWS($I$2:$I$111))),ROW()-ROW($J$2:$J$111)+1),COLUMN($I$2:$I$111),4)))</f>
        <v/>
      </c>
    </row>
    <row r="44" spans="4:16" x14ac:dyDescent="0.25">
      <c r="D44" s="917"/>
      <c r="E44" s="145" t="str">
        <f>IF(H44="","","2019")</f>
        <v/>
      </c>
      <c r="F44" s="146" t="str">
        <f t="shared" si="11"/>
        <v/>
      </c>
      <c r="G44" s="146" t="str">
        <f t="shared" si="8"/>
        <v/>
      </c>
      <c r="H44" s="131" t="str">
        <f>IF(A8="relevant",IF(Matrix!N24&lt;Berechnung2!$G$37,Berechnung2!$L$37,""),"")</f>
        <v/>
      </c>
      <c r="I44" s="121" t="str">
        <f>IF(H44="","",VLOOKUP(F44,Berechnung2!$I$15:$J$25,2,FALSE))</f>
        <v/>
      </c>
      <c r="J44" s="132" t="str">
        <f t="shared" si="10"/>
        <v/>
      </c>
      <c r="L44" s="55" t="str">
        <f t="array" aca="1" ref="L44" ca="1">IF(ROW()-ROW($F$2:$F$111)+1&gt;ROWS($E$2:$E$111)-COUNTBLANK($E$2:$E$111),"",INDIRECT(ADDRESS(SMALL((IF($E$2:$E$111&gt;"",ROW($E$2:$E$111),ROW()+ROWS($E$2:$E$111))),ROW()-ROW($F$2:$F$111)+1),COLUMN($E$2:$E$111),4)))</f>
        <v/>
      </c>
      <c r="M44" s="55" t="str">
        <f t="array" aca="1" ref="M44" ca="1">IF(ROW()-ROW($G$2:$G$111)+1&gt;ROWS($F$2:$F$111)-COUNTBLANK($F$2:$F$111),"",INDIRECT(ADDRESS(SMALL((IF($F$2:$F$111&lt;&gt;"",ROW($F$2:$F$111),ROW()+ROWS($F$2:$F$111))),ROW()-ROW($G$2:$G$111)+1),COLUMN($F$2:$F$111),4)))</f>
        <v/>
      </c>
      <c r="N44" s="55" t="str">
        <f t="array" aca="1" ref="N44" ca="1">IF(ROW()-ROW($H$2:$H$111)+1&gt;ROWS($G$2:$G$111)-COUNTBLANK($G$2:$G$111),"",INDIRECT(ADDRESS(SMALL((IF($G$2:$G$111&lt;&gt;"",ROW($G$2:$G$111),ROW()+ROWS($G$2:$G$111))),ROW()-ROW($H$2:$H$111)+1),COLUMN($G$2:$G$111),4)))</f>
        <v/>
      </c>
      <c r="O44" s="121" t="str">
        <f t="array" aca="1" ref="O44" ca="1">IF(ROW()-ROW($I$2:$I$111)+1&gt;ROWS($H$2:$H$111)-COUNTBLANK($H$2:$H$111),"",INDIRECT(ADDRESS(SMALL((IF($H$2:$H$111&lt;&gt;"",ROW($H$2:$H$111),ROW()+ROWS($H$2:$H$111))),ROW()-ROW($I$2:$I$111)+1),COLUMN($H$2:$H$111),4)))</f>
        <v/>
      </c>
      <c r="P44" s="121" t="str">
        <f t="array" aca="1" ref="P44" ca="1">IF(ROW()-ROW($J$2:$J$111)+1&gt;ROWS($I$2:$I$111)-COUNTBLANK($I$2:$I$111),"",INDIRECT(ADDRESS(SMALL((IF($I$2:$I$111&lt;&gt;"",ROW($I$2:$I$111),ROW()+ROWS($I$2:$I$111))),ROW()-ROW($J$2:$J$111)+1),COLUMN($I$2:$I$111),4)))</f>
        <v/>
      </c>
    </row>
    <row r="45" spans="4:16" x14ac:dyDescent="0.25">
      <c r="D45" s="917"/>
      <c r="E45" s="145" t="str">
        <f>IF(H45="","","2020")</f>
        <v/>
      </c>
      <c r="F45" s="146" t="str">
        <f t="shared" si="11"/>
        <v/>
      </c>
      <c r="G45" s="146" t="str">
        <f t="shared" si="8"/>
        <v/>
      </c>
      <c r="H45" s="131" t="str">
        <f>IF(A9="relevant",IF(Matrix!N25&lt;Berechnung2!$G$37,Berechnung2!$L$37,""),"")</f>
        <v/>
      </c>
      <c r="I45" s="121" t="str">
        <f>IF(H45="","",VLOOKUP(F45,Berechnung2!$I$15:$J$25,2,FALSE))</f>
        <v/>
      </c>
      <c r="J45" s="132" t="str">
        <f t="shared" si="10"/>
        <v/>
      </c>
      <c r="L45" s="55" t="str">
        <f t="array" aca="1" ref="L45" ca="1">IF(ROW()-ROW($F$2:$F$111)+1&gt;ROWS($E$2:$E$111)-COUNTBLANK($E$2:$E$111),"",INDIRECT(ADDRESS(SMALL((IF($E$2:$E$111&gt;"",ROW($E$2:$E$111),ROW()+ROWS($E$2:$E$111))),ROW()-ROW($F$2:$F$111)+1),COLUMN($E$2:$E$111),4)))</f>
        <v/>
      </c>
      <c r="M45" s="55" t="str">
        <f t="array" aca="1" ref="M45" ca="1">IF(ROW()-ROW($G$2:$G$111)+1&gt;ROWS($F$2:$F$111)-COUNTBLANK($F$2:$F$111),"",INDIRECT(ADDRESS(SMALL((IF($F$2:$F$111&lt;&gt;"",ROW($F$2:$F$111),ROW()+ROWS($F$2:$F$111))),ROW()-ROW($G$2:$G$111)+1),COLUMN($F$2:$F$111),4)))</f>
        <v/>
      </c>
      <c r="N45" s="55" t="str">
        <f t="array" aca="1" ref="N45" ca="1">IF(ROW()-ROW($H$2:$H$111)+1&gt;ROWS($G$2:$G$111)-COUNTBLANK($G$2:$G$111),"",INDIRECT(ADDRESS(SMALL((IF($G$2:$G$111&lt;&gt;"",ROW($G$2:$G$111),ROW()+ROWS($G$2:$G$111))),ROW()-ROW($H$2:$H$111)+1),COLUMN($G$2:$G$111),4)))</f>
        <v/>
      </c>
      <c r="O45" s="121" t="str">
        <f t="array" aca="1" ref="O45" ca="1">IF(ROW()-ROW($I$2:$I$111)+1&gt;ROWS($H$2:$H$111)-COUNTBLANK($H$2:$H$111),"",INDIRECT(ADDRESS(SMALL((IF($H$2:$H$111&lt;&gt;"",ROW($H$2:$H$111),ROW()+ROWS($H$2:$H$111))),ROW()-ROW($I$2:$I$111)+1),COLUMN($H$2:$H$111),4)))</f>
        <v/>
      </c>
      <c r="P45" s="121" t="str">
        <f t="array" aca="1" ref="P45" ca="1">IF(ROW()-ROW($J$2:$J$111)+1&gt;ROWS($I$2:$I$111)-COUNTBLANK($I$2:$I$111),"",INDIRECT(ADDRESS(SMALL((IF($I$2:$I$111&lt;&gt;"",ROW($I$2:$I$111),ROW()+ROWS($I$2:$I$111))),ROW()-ROW($J$2:$J$111)+1),COLUMN($I$2:$I$111),4)))</f>
        <v/>
      </c>
    </row>
    <row r="46" spans="4:16" x14ac:dyDescent="0.25">
      <c r="D46" s="917"/>
      <c r="E46" s="145" t="str">
        <f>IF(H46="","","2021")</f>
        <v/>
      </c>
      <c r="F46" s="146" t="str">
        <f t="shared" si="11"/>
        <v/>
      </c>
      <c r="G46" s="146" t="str">
        <f t="shared" si="8"/>
        <v/>
      </c>
      <c r="H46" s="131" t="str">
        <f>IF(A10="relevant",IF(Matrix!N26&lt;Berechnung2!$G$37,Berechnung2!$L$37,""),"")</f>
        <v/>
      </c>
      <c r="I46" s="121" t="str">
        <f>IF(H46="","",VLOOKUP(F46,Berechnung2!$I$15:$J$25,2,FALSE))</f>
        <v/>
      </c>
      <c r="J46" s="132" t="str">
        <f t="shared" si="10"/>
        <v/>
      </c>
      <c r="L46" s="55" t="str">
        <f t="array" aca="1" ref="L46" ca="1">IF(ROW()-ROW($F$2:$F$111)+1&gt;ROWS($E$2:$E$111)-COUNTBLANK($E$2:$E$111),"",INDIRECT(ADDRESS(SMALL((IF($E$2:$E$111&gt;"",ROW($E$2:$E$111),ROW()+ROWS($E$2:$E$111))),ROW()-ROW($F$2:$F$111)+1),COLUMN($E$2:$E$111),4)))</f>
        <v/>
      </c>
      <c r="M46" s="55" t="str">
        <f t="array" aca="1" ref="M46" ca="1">IF(ROW()-ROW($G$2:$G$111)+1&gt;ROWS($F$2:$F$111)-COUNTBLANK($F$2:$F$111),"",INDIRECT(ADDRESS(SMALL((IF($F$2:$F$111&lt;&gt;"",ROW($F$2:$F$111),ROW()+ROWS($F$2:$F$111))),ROW()-ROW($G$2:$G$111)+1),COLUMN($F$2:$F$111),4)))</f>
        <v/>
      </c>
      <c r="N46" s="55" t="str">
        <f t="array" aca="1" ref="N46" ca="1">IF(ROW()-ROW($H$2:$H$111)+1&gt;ROWS($G$2:$G$111)-COUNTBLANK($G$2:$G$111),"",INDIRECT(ADDRESS(SMALL((IF($G$2:$G$111&lt;&gt;"",ROW($G$2:$G$111),ROW()+ROWS($G$2:$G$111))),ROW()-ROW($H$2:$H$111)+1),COLUMN($G$2:$G$111),4)))</f>
        <v/>
      </c>
      <c r="O46" s="121" t="str">
        <f t="array" aca="1" ref="O46" ca="1">IF(ROW()-ROW($I$2:$I$111)+1&gt;ROWS($H$2:$H$111)-COUNTBLANK($H$2:$H$111),"",INDIRECT(ADDRESS(SMALL((IF($H$2:$H$111&lt;&gt;"",ROW($H$2:$H$111),ROW()+ROWS($H$2:$H$111))),ROW()-ROW($I$2:$I$111)+1),COLUMN($H$2:$H$111),4)))</f>
        <v/>
      </c>
      <c r="P46" s="121" t="str">
        <f t="array" aca="1" ref="P46" ca="1">IF(ROW()-ROW($J$2:$J$111)+1&gt;ROWS($I$2:$I$111)-COUNTBLANK($I$2:$I$111),"",INDIRECT(ADDRESS(SMALL((IF($I$2:$I$111&lt;&gt;"",ROW($I$2:$I$111),ROW()+ROWS($I$2:$I$111))),ROW()-ROW($J$2:$J$111)+1),COLUMN($I$2:$I$111),4)))</f>
        <v/>
      </c>
    </row>
    <row r="47" spans="4:16" x14ac:dyDescent="0.25">
      <c r="D47" s="917"/>
      <c r="E47" s="145" t="str">
        <f>IF(H47="","","2022")</f>
        <v/>
      </c>
      <c r="F47" s="146" t="str">
        <f t="shared" si="11"/>
        <v/>
      </c>
      <c r="G47" s="146" t="str">
        <f t="shared" si="8"/>
        <v/>
      </c>
      <c r="H47" s="131" t="str">
        <f>IF(A11="relevant",IF(Matrix!N27&lt;Berechnung2!$G$37,Berechnung2!$L$37,""),"")</f>
        <v/>
      </c>
      <c r="I47" s="121" t="str">
        <f>IF(H47="","",VLOOKUP(F47,Berechnung2!$I$15:$J$25,2,FALSE))</f>
        <v/>
      </c>
      <c r="J47" s="132" t="str">
        <f t="shared" si="10"/>
        <v/>
      </c>
      <c r="L47" s="55" t="str">
        <f t="array" aca="1" ref="L47" ca="1">IF(ROW()-ROW($F$2:$F$111)+1&gt;ROWS($E$2:$E$111)-COUNTBLANK($E$2:$E$111),"",INDIRECT(ADDRESS(SMALL((IF($E$2:$E$111&gt;"",ROW($E$2:$E$111),ROW()+ROWS($E$2:$E$111))),ROW()-ROW($F$2:$F$111)+1),COLUMN($E$2:$E$111),4)))</f>
        <v/>
      </c>
      <c r="M47" s="55" t="str">
        <f t="array" aca="1" ref="M47" ca="1">IF(ROW()-ROW($G$2:$G$111)+1&gt;ROWS($F$2:$F$111)-COUNTBLANK($F$2:$F$111),"",INDIRECT(ADDRESS(SMALL((IF($F$2:$F$111&lt;&gt;"",ROW($F$2:$F$111),ROW()+ROWS($F$2:$F$111))),ROW()-ROW($G$2:$G$111)+1),COLUMN($F$2:$F$111),4)))</f>
        <v/>
      </c>
      <c r="N47" s="55" t="str">
        <f t="array" aca="1" ref="N47" ca="1">IF(ROW()-ROW($H$2:$H$111)+1&gt;ROWS($G$2:$G$111)-COUNTBLANK($G$2:$G$111),"",INDIRECT(ADDRESS(SMALL((IF($G$2:$G$111&lt;&gt;"",ROW($G$2:$G$111),ROW()+ROWS($G$2:$G$111))),ROW()-ROW($H$2:$H$111)+1),COLUMN($G$2:$G$111),4)))</f>
        <v/>
      </c>
      <c r="O47" s="121" t="str">
        <f t="array" aca="1" ref="O47" ca="1">IF(ROW()-ROW($I$2:$I$111)+1&gt;ROWS($H$2:$H$111)-COUNTBLANK($H$2:$H$111),"",INDIRECT(ADDRESS(SMALL((IF($H$2:$H$111&lt;&gt;"",ROW($H$2:$H$111),ROW()+ROWS($H$2:$H$111))),ROW()-ROW($I$2:$I$111)+1),COLUMN($H$2:$H$111),4)))</f>
        <v/>
      </c>
      <c r="P47" s="121" t="str">
        <f t="array" aca="1" ref="P47" ca="1">IF(ROW()-ROW($J$2:$J$111)+1&gt;ROWS($I$2:$I$111)-COUNTBLANK($I$2:$I$111),"",INDIRECT(ADDRESS(SMALL((IF($I$2:$I$111&lt;&gt;"",ROW($I$2:$I$111),ROW()+ROWS($I$2:$I$111))),ROW()-ROW($J$2:$J$111)+1),COLUMN($I$2:$I$111),4)))</f>
        <v/>
      </c>
    </row>
    <row r="48" spans="4:16" x14ac:dyDescent="0.25">
      <c r="D48" s="181"/>
      <c r="E48" s="145" t="str">
        <f>IF(H48="","","2023")</f>
        <v/>
      </c>
      <c r="F48" s="415"/>
      <c r="G48" s="415"/>
      <c r="H48" s="416"/>
      <c r="I48" s="417"/>
      <c r="J48" s="418"/>
      <c r="L48" s="55" t="str">
        <f t="array" aca="1" ref="L48" ca="1">IF(ROW()-ROW($F$2:$F$111)+1&gt;ROWS($E$2:$E$111)-COUNTBLANK($E$2:$E$111),"",INDIRECT(ADDRESS(SMALL((IF($E$2:$E$111&gt;"",ROW($E$2:$E$111),ROW()+ROWS($E$2:$E$111))),ROW()-ROW($F$2:$F$111)+1),COLUMN($E$2:$E$111),4)))</f>
        <v/>
      </c>
      <c r="M48" s="55" t="str">
        <f t="array" aca="1" ref="M48" ca="1">IF(ROW()-ROW($G$2:$G$111)+1&gt;ROWS($F$2:$F$111)-COUNTBLANK($F$2:$F$111),"",INDIRECT(ADDRESS(SMALL((IF($F$2:$F$111&lt;&gt;"",ROW($F$2:$F$111),ROW()+ROWS($F$2:$F$111))),ROW()-ROW($G$2:$G$111)+1),COLUMN($F$2:$F$111),4)))</f>
        <v/>
      </c>
      <c r="N48" s="55" t="str">
        <f t="array" aca="1" ref="N48" ca="1">IF(ROW()-ROW($H$2:$H$111)+1&gt;ROWS($G$2:$G$111)-COUNTBLANK($G$2:$G$111),"",INDIRECT(ADDRESS(SMALL((IF($G$2:$G$111&lt;&gt;"",ROW($G$2:$G$111),ROW()+ROWS($G$2:$G$111))),ROW()-ROW($H$2:$H$111)+1),COLUMN($G$2:$G$111),4)))</f>
        <v/>
      </c>
      <c r="O48" s="121" t="str">
        <f t="array" aca="1" ref="O48" ca="1">IF(ROW()-ROW($I$2:$I$111)+1&gt;ROWS($H$2:$H$111)-COUNTBLANK($H$2:$H$111),"",INDIRECT(ADDRESS(SMALL((IF($H$2:$H$111&lt;&gt;"",ROW($H$2:$H$111),ROW()+ROWS($H$2:$H$111))),ROW()-ROW($I$2:$I$111)+1),COLUMN($H$2:$H$111),4)))</f>
        <v/>
      </c>
      <c r="P48" s="121" t="str">
        <f t="array" aca="1" ref="P48" ca="1">IF(ROW()-ROW($J$2:$J$111)+1&gt;ROWS($I$2:$I$111)-COUNTBLANK($I$2:$I$111),"",INDIRECT(ADDRESS(SMALL((IF($I$2:$I$111&lt;&gt;"",ROW($I$2:$I$111),ROW()+ROWS($I$2:$I$111))),ROW()-ROW($J$2:$J$111)+1),COLUMN($I$2:$I$111),4)))</f>
        <v/>
      </c>
    </row>
    <row r="49" spans="4:16" ht="12" thickBot="1" x14ac:dyDescent="0.3">
      <c r="D49" s="182" t="s">
        <v>91</v>
      </c>
      <c r="E49" s="147" t="str">
        <f>IF(H49="","","2024")</f>
        <v/>
      </c>
      <c r="F49" s="411"/>
      <c r="G49" s="411"/>
      <c r="H49" s="420"/>
      <c r="I49" s="413"/>
      <c r="J49" s="414"/>
      <c r="L49" s="55" t="str">
        <f t="array" aca="1" ref="L49" ca="1">IF(ROW()-ROW($F$2:$F$111)+1&gt;ROWS($E$2:$E$111)-COUNTBLANK($E$2:$E$111),"",INDIRECT(ADDRESS(SMALL((IF($E$2:$E$111&gt;"",ROW($E$2:$E$111),ROW()+ROWS($E$2:$E$111))),ROW()-ROW($F$2:$F$111)+1),COLUMN($E$2:$E$111),4)))</f>
        <v/>
      </c>
      <c r="M49" s="55" t="str">
        <f t="array" aca="1" ref="M49" ca="1">IF(ROW()-ROW($G$2:$G$111)+1&gt;ROWS($F$2:$F$111)-COUNTBLANK($F$2:$F$111),"",INDIRECT(ADDRESS(SMALL((IF($F$2:$F$111&lt;&gt;"",ROW($F$2:$F$111),ROW()+ROWS($F$2:$F$111))),ROW()-ROW($G$2:$G$111)+1),COLUMN($F$2:$F$111),4)))</f>
        <v/>
      </c>
      <c r="N49" s="55" t="str">
        <f t="array" aca="1" ref="N49" ca="1">IF(ROW()-ROW($H$2:$H$111)+1&gt;ROWS($G$2:$G$111)-COUNTBLANK($G$2:$G$111),"",INDIRECT(ADDRESS(SMALL((IF($G$2:$G$111&lt;&gt;"",ROW($G$2:$G$111),ROW()+ROWS($G$2:$G$111))),ROW()-ROW($H$2:$H$111)+1),COLUMN($G$2:$G$111),4)))</f>
        <v/>
      </c>
      <c r="O49" s="121" t="str">
        <f t="array" aca="1" ref="O49" ca="1">IF(ROW()-ROW($I$2:$I$111)+1&gt;ROWS($H$2:$H$111)-COUNTBLANK($H$2:$H$111),"",INDIRECT(ADDRESS(SMALL((IF($H$2:$H$111&lt;&gt;"",ROW($H$2:$H$111),ROW()+ROWS($H$2:$H$111))),ROW()-ROW($I$2:$I$111)+1),COLUMN($H$2:$H$111),4)))</f>
        <v/>
      </c>
      <c r="P49" s="121" t="str">
        <f t="array" aca="1" ref="P49" ca="1">IF(ROW()-ROW($J$2:$J$111)+1&gt;ROWS($I$2:$I$111)-COUNTBLANK($I$2:$I$111),"",INDIRECT(ADDRESS(SMALL((IF($I$2:$I$111&lt;&gt;"",ROW($I$2:$I$111),ROW()+ROWS($I$2:$I$111))),ROW()-ROW($J$2:$J$111)+1),COLUMN($I$2:$I$111),4)))</f>
        <v/>
      </c>
    </row>
    <row r="50" spans="4:16" x14ac:dyDescent="0.25">
      <c r="D50" s="128" t="s">
        <v>461</v>
      </c>
      <c r="E50" s="143" t="str">
        <f>IF(H50="","","2013")</f>
        <v/>
      </c>
      <c r="F50" s="144" t="str">
        <f>IF(H50="","","o")</f>
        <v/>
      </c>
      <c r="G50" s="144" t="str">
        <f t="shared" si="8"/>
        <v/>
      </c>
      <c r="H50" s="410" t="str">
        <f>IF(A2="relevant",IF(Matrix!Q18&lt;Berechnung2!$G$38,Berechnung2!$L$38,""),"")</f>
        <v/>
      </c>
      <c r="I50" s="134" t="str">
        <f>IF(H50="","",VLOOKUP(F50,Berechnung2!$I$15:$J$25,2,FALSE))</f>
        <v/>
      </c>
      <c r="J50" s="133" t="str">
        <f t="shared" si="10"/>
        <v/>
      </c>
      <c r="L50" s="55" t="str">
        <f t="array" aca="1" ref="L50" ca="1">IF(ROW()-ROW($F$2:$F$111)+1&gt;ROWS($E$2:$E$111)-COUNTBLANK($E$2:$E$111),"",INDIRECT(ADDRESS(SMALL((IF($E$2:$E$111&gt;"",ROW($E$2:$E$111),ROW()+ROWS($E$2:$E$111))),ROW()-ROW($F$2:$F$111)+1),COLUMN($E$2:$E$111),4)))</f>
        <v/>
      </c>
      <c r="M50" s="55" t="str">
        <f t="array" aca="1" ref="M50" ca="1">IF(ROW()-ROW($G$2:$G$111)+1&gt;ROWS($F$2:$F$111)-COUNTBLANK($F$2:$F$111),"",INDIRECT(ADDRESS(SMALL((IF($F$2:$F$111&lt;&gt;"",ROW($F$2:$F$111),ROW()+ROWS($F$2:$F$111))),ROW()-ROW($G$2:$G$111)+1),COLUMN($F$2:$F$111),4)))</f>
        <v/>
      </c>
      <c r="N50" s="55" t="str">
        <f t="array" aca="1" ref="N50" ca="1">IF(ROW()-ROW($H$2:$H$111)+1&gt;ROWS($G$2:$G$111)-COUNTBLANK($G$2:$G$111),"",INDIRECT(ADDRESS(SMALL((IF($G$2:$G$111&lt;&gt;"",ROW($G$2:$G$111),ROW()+ROWS($G$2:$G$111))),ROW()-ROW($H$2:$H$111)+1),COLUMN($G$2:$G$111),4)))</f>
        <v/>
      </c>
      <c r="O50" s="121" t="str">
        <f t="array" aca="1" ref="O50" ca="1">IF(ROW()-ROW($I$2:$I$111)+1&gt;ROWS($H$2:$H$111)-COUNTBLANK($H$2:$H$111),"",INDIRECT(ADDRESS(SMALL((IF($H$2:$H$111&lt;&gt;"",ROW($H$2:$H$111),ROW()+ROWS($H$2:$H$111))),ROW()-ROW($I$2:$I$111)+1),COLUMN($H$2:$H$111),4)))</f>
        <v/>
      </c>
      <c r="P50" s="121" t="str">
        <f t="array" aca="1" ref="P50" ca="1">IF(ROW()-ROW($J$2:$J$111)+1&gt;ROWS($I$2:$I$111)-COUNTBLANK($I$2:$I$111),"",INDIRECT(ADDRESS(SMALL((IF($I$2:$I$111&lt;&gt;"",ROW($I$2:$I$111),ROW()+ROWS($I$2:$I$111))),ROW()-ROW($J$2:$J$111)+1),COLUMN($I$2:$I$111),4)))</f>
        <v/>
      </c>
    </row>
    <row r="51" spans="4:16" x14ac:dyDescent="0.25">
      <c r="D51" s="917" t="s">
        <v>84</v>
      </c>
      <c r="E51" s="145" t="str">
        <f>IF(H51="","","2014")</f>
        <v/>
      </c>
      <c r="F51" s="146" t="str">
        <f t="shared" ref="F51:F59" si="12">IF(H51="","","o")</f>
        <v/>
      </c>
      <c r="G51" s="146" t="str">
        <f t="shared" si="8"/>
        <v/>
      </c>
      <c r="H51" s="131" t="str">
        <f>IF(A3="relevant",IF(Matrix!Q19&lt;Berechnung2!$G$38,Berechnung2!$L$38,""),"")</f>
        <v/>
      </c>
      <c r="I51" s="121" t="str">
        <f>IF(H51="","",VLOOKUP(F51,Berechnung2!$I$15:$J$25,2,FALSE))</f>
        <v/>
      </c>
      <c r="J51" s="132" t="str">
        <f t="shared" si="10"/>
        <v/>
      </c>
      <c r="L51" s="55" t="str">
        <f t="array" aca="1" ref="L51" ca="1">IF(ROW()-ROW($F$2:$F$111)+1&gt;ROWS($E$2:$E$111)-COUNTBLANK($E$2:$E$111),"",INDIRECT(ADDRESS(SMALL((IF($E$2:$E$111&gt;"",ROW($E$2:$E$111),ROW()+ROWS($E$2:$E$111))),ROW()-ROW($F$2:$F$111)+1),COLUMN($E$2:$E$111),4)))</f>
        <v/>
      </c>
      <c r="M51" s="55" t="str">
        <f t="array" aca="1" ref="M51" ca="1">IF(ROW()-ROW($G$2:$G$111)+1&gt;ROWS($F$2:$F$111)-COUNTBLANK($F$2:$F$111),"",INDIRECT(ADDRESS(SMALL((IF($F$2:$F$111&lt;&gt;"",ROW($F$2:$F$111),ROW()+ROWS($F$2:$F$111))),ROW()-ROW($G$2:$G$111)+1),COLUMN($F$2:$F$111),4)))</f>
        <v/>
      </c>
      <c r="N51" s="55" t="str">
        <f t="array" aca="1" ref="N51" ca="1">IF(ROW()-ROW($H$2:$H$111)+1&gt;ROWS($G$2:$G$111)-COUNTBLANK($G$2:$G$111),"",INDIRECT(ADDRESS(SMALL((IF($G$2:$G$111&lt;&gt;"",ROW($G$2:$G$111),ROW()+ROWS($G$2:$G$111))),ROW()-ROW($H$2:$H$111)+1),COLUMN($G$2:$G$111),4)))</f>
        <v/>
      </c>
      <c r="O51" s="121" t="str">
        <f t="array" aca="1" ref="O51" ca="1">IF(ROW()-ROW($I$2:$I$111)+1&gt;ROWS($H$2:$H$111)-COUNTBLANK($H$2:$H$111),"",INDIRECT(ADDRESS(SMALL((IF($H$2:$H$111&lt;&gt;"",ROW($H$2:$H$111),ROW()+ROWS($H$2:$H$111))),ROW()-ROW($I$2:$I$111)+1),COLUMN($H$2:$H$111),4)))</f>
        <v/>
      </c>
      <c r="P51" s="121" t="str">
        <f t="array" aca="1" ref="P51" ca="1">IF(ROW()-ROW($J$2:$J$111)+1&gt;ROWS($I$2:$I$111)-COUNTBLANK($I$2:$I$111),"",INDIRECT(ADDRESS(SMALL((IF($I$2:$I$111&lt;&gt;"",ROW($I$2:$I$111),ROW()+ROWS($I$2:$I$111))),ROW()-ROW($J$2:$J$111)+1),COLUMN($I$2:$I$111),4)))</f>
        <v/>
      </c>
    </row>
    <row r="52" spans="4:16" x14ac:dyDescent="0.25">
      <c r="D52" s="917"/>
      <c r="E52" s="145" t="str">
        <f>IF(H52="","","2015")</f>
        <v/>
      </c>
      <c r="F52" s="146" t="str">
        <f t="shared" si="12"/>
        <v/>
      </c>
      <c r="G52" s="146" t="str">
        <f t="shared" si="8"/>
        <v/>
      </c>
      <c r="H52" s="131" t="str">
        <f>IF(A4="relevant",IF(Matrix!Q20&lt;Berechnung2!$G$38,Berechnung2!$L$38,""),"")</f>
        <v/>
      </c>
      <c r="I52" s="121" t="str">
        <f>IF(H52="","",VLOOKUP(F52,Berechnung2!$I$15:$J$25,2,FALSE))</f>
        <v/>
      </c>
      <c r="J52" s="132" t="str">
        <f t="shared" si="10"/>
        <v/>
      </c>
      <c r="L52" s="55" t="str">
        <f t="array" aca="1" ref="L52" ca="1">IF(ROW()-ROW($F$2:$F$111)+1&gt;ROWS($E$2:$E$111)-COUNTBLANK($E$2:$E$111),"",INDIRECT(ADDRESS(SMALL((IF($E$2:$E$111&gt;"",ROW($E$2:$E$111),ROW()+ROWS($E$2:$E$111))),ROW()-ROW($F$2:$F$111)+1),COLUMN($E$2:$E$111),4)))</f>
        <v/>
      </c>
      <c r="M52" s="55" t="str">
        <f t="array" aca="1" ref="M52" ca="1">IF(ROW()-ROW($G$2:$G$111)+1&gt;ROWS($F$2:$F$111)-COUNTBLANK($F$2:$F$111),"",INDIRECT(ADDRESS(SMALL((IF($F$2:$F$111&lt;&gt;"",ROW($F$2:$F$111),ROW()+ROWS($F$2:$F$111))),ROW()-ROW($G$2:$G$111)+1),COLUMN($F$2:$F$111),4)))</f>
        <v/>
      </c>
      <c r="N52" s="55" t="str">
        <f t="array" aca="1" ref="N52" ca="1">IF(ROW()-ROW($H$2:$H$111)+1&gt;ROWS($G$2:$G$111)-COUNTBLANK($G$2:$G$111),"",INDIRECT(ADDRESS(SMALL((IF($G$2:$G$111&lt;&gt;"",ROW($G$2:$G$111),ROW()+ROWS($G$2:$G$111))),ROW()-ROW($H$2:$H$111)+1),COLUMN($G$2:$G$111),4)))</f>
        <v/>
      </c>
      <c r="O52" s="121" t="str">
        <f t="array" aca="1" ref="O52" ca="1">IF(ROW()-ROW($I$2:$I$111)+1&gt;ROWS($H$2:$H$111)-COUNTBLANK($H$2:$H$111),"",INDIRECT(ADDRESS(SMALL((IF($H$2:$H$111&lt;&gt;"",ROW($H$2:$H$111),ROW()+ROWS($H$2:$H$111))),ROW()-ROW($I$2:$I$111)+1),COLUMN($H$2:$H$111),4)))</f>
        <v/>
      </c>
      <c r="P52" s="121" t="str">
        <f t="array" aca="1" ref="P52" ca="1">IF(ROW()-ROW($J$2:$J$111)+1&gt;ROWS($I$2:$I$111)-COUNTBLANK($I$2:$I$111),"",INDIRECT(ADDRESS(SMALL((IF($I$2:$I$111&lt;&gt;"",ROW($I$2:$I$111),ROW()+ROWS($I$2:$I$111))),ROW()-ROW($J$2:$J$111)+1),COLUMN($I$2:$I$111),4)))</f>
        <v/>
      </c>
    </row>
    <row r="53" spans="4:16" x14ac:dyDescent="0.25">
      <c r="D53" s="917"/>
      <c r="E53" s="145" t="str">
        <f>IF(H53="","","2016")</f>
        <v/>
      </c>
      <c r="F53" s="146" t="str">
        <f t="shared" si="12"/>
        <v/>
      </c>
      <c r="G53" s="146" t="str">
        <f t="shared" si="8"/>
        <v/>
      </c>
      <c r="H53" s="131" t="str">
        <f>IF(A5="relevant",IF(Matrix!Q21&lt;Berechnung2!$G$38,Berechnung2!$L$38,""),"")</f>
        <v/>
      </c>
      <c r="I53" s="121" t="str">
        <f>IF(H53="","",VLOOKUP(F53,Berechnung2!$I$15:$J$25,2,FALSE))</f>
        <v/>
      </c>
      <c r="J53" s="132" t="str">
        <f t="shared" si="10"/>
        <v/>
      </c>
      <c r="L53" s="55" t="str">
        <f t="array" aca="1" ref="L53" ca="1">IF(ROW()-ROW($F$2:$F$111)+1&gt;ROWS($E$2:$E$111)-COUNTBLANK($E$2:$E$111),"",INDIRECT(ADDRESS(SMALL((IF($E$2:$E$111&gt;"",ROW($E$2:$E$111),ROW()+ROWS($E$2:$E$111))),ROW()-ROW($F$2:$F$111)+1),COLUMN($E$2:$E$111),4)))</f>
        <v/>
      </c>
      <c r="M53" s="55" t="str">
        <f t="array" aca="1" ref="M53" ca="1">IF(ROW()-ROW($G$2:$G$111)+1&gt;ROWS($F$2:$F$111)-COUNTBLANK($F$2:$F$111),"",INDIRECT(ADDRESS(SMALL((IF($F$2:$F$111&lt;&gt;"",ROW($F$2:$F$111),ROW()+ROWS($F$2:$F$111))),ROW()-ROW($G$2:$G$111)+1),COLUMN($F$2:$F$111),4)))</f>
        <v/>
      </c>
      <c r="N53" s="55" t="str">
        <f t="array" aca="1" ref="N53" ca="1">IF(ROW()-ROW($H$2:$H$111)+1&gt;ROWS($G$2:$G$111)-COUNTBLANK($G$2:$G$111),"",INDIRECT(ADDRESS(SMALL((IF($G$2:$G$111&lt;&gt;"",ROW($G$2:$G$111),ROW()+ROWS($G$2:$G$111))),ROW()-ROW($H$2:$H$111)+1),COLUMN($G$2:$G$111),4)))</f>
        <v/>
      </c>
      <c r="O53" s="121" t="str">
        <f t="array" aca="1" ref="O53" ca="1">IF(ROW()-ROW($I$2:$I$111)+1&gt;ROWS($H$2:$H$111)-COUNTBLANK($H$2:$H$111),"",INDIRECT(ADDRESS(SMALL((IF($H$2:$H$111&lt;&gt;"",ROW($H$2:$H$111),ROW()+ROWS($H$2:$H$111))),ROW()-ROW($I$2:$I$111)+1),COLUMN($H$2:$H$111),4)))</f>
        <v/>
      </c>
      <c r="P53" s="121" t="str">
        <f t="array" aca="1" ref="P53" ca="1">IF(ROW()-ROW($J$2:$J$111)+1&gt;ROWS($I$2:$I$111)-COUNTBLANK($I$2:$I$111),"",INDIRECT(ADDRESS(SMALL((IF($I$2:$I$111&lt;&gt;"",ROW($I$2:$I$111),ROW()+ROWS($I$2:$I$111))),ROW()-ROW($J$2:$J$111)+1),COLUMN($I$2:$I$111),4)))</f>
        <v/>
      </c>
    </row>
    <row r="54" spans="4:16" x14ac:dyDescent="0.25">
      <c r="D54" s="917"/>
      <c r="E54" s="145" t="str">
        <f>IF(H54="","","2017")</f>
        <v/>
      </c>
      <c r="F54" s="146" t="str">
        <f t="shared" si="12"/>
        <v/>
      </c>
      <c r="G54" s="146" t="str">
        <f t="shared" si="8"/>
        <v/>
      </c>
      <c r="H54" s="131" t="str">
        <f>IF(A6="relevant",IF(Matrix!Q22&lt;Berechnung2!$G$38,Berechnung2!$L$38,""),"")</f>
        <v/>
      </c>
      <c r="I54" s="121" t="str">
        <f>IF(H54="","",VLOOKUP(F54,Berechnung2!$I$15:$J$25,2,FALSE))</f>
        <v/>
      </c>
      <c r="J54" s="132" t="str">
        <f t="shared" si="10"/>
        <v/>
      </c>
      <c r="L54" s="55" t="str">
        <f t="array" aca="1" ref="L54" ca="1">IF(ROW()-ROW($F$2:$F$111)+1&gt;ROWS($E$2:$E$111)-COUNTBLANK($E$2:$E$111),"",INDIRECT(ADDRESS(SMALL((IF($E$2:$E$111&gt;"",ROW($E$2:$E$111),ROW()+ROWS($E$2:$E$111))),ROW()-ROW($F$2:$F$111)+1),COLUMN($E$2:$E$111),4)))</f>
        <v/>
      </c>
      <c r="M54" s="55" t="str">
        <f t="array" aca="1" ref="M54" ca="1">IF(ROW()-ROW($G$2:$G$111)+1&gt;ROWS($F$2:$F$111)-COUNTBLANK($F$2:$F$111),"",INDIRECT(ADDRESS(SMALL((IF($F$2:$F$111&lt;&gt;"",ROW($F$2:$F$111),ROW()+ROWS($F$2:$F$111))),ROW()-ROW($G$2:$G$111)+1),COLUMN($F$2:$F$111),4)))</f>
        <v/>
      </c>
      <c r="N54" s="55" t="str">
        <f t="array" aca="1" ref="N54" ca="1">IF(ROW()-ROW($H$2:$H$111)+1&gt;ROWS($G$2:$G$111)-COUNTBLANK($G$2:$G$111),"",INDIRECT(ADDRESS(SMALL((IF($G$2:$G$111&lt;&gt;"",ROW($G$2:$G$111),ROW()+ROWS($G$2:$G$111))),ROW()-ROW($H$2:$H$111)+1),COLUMN($G$2:$G$111),4)))</f>
        <v/>
      </c>
      <c r="O54" s="121" t="str">
        <f t="array" aca="1" ref="O54" ca="1">IF(ROW()-ROW($I$2:$I$111)+1&gt;ROWS($H$2:$H$111)-COUNTBLANK($H$2:$H$111),"",INDIRECT(ADDRESS(SMALL((IF($H$2:$H$111&lt;&gt;"",ROW($H$2:$H$111),ROW()+ROWS($H$2:$H$111))),ROW()-ROW($I$2:$I$111)+1),COLUMN($H$2:$H$111),4)))</f>
        <v/>
      </c>
      <c r="P54" s="121" t="str">
        <f t="array" aca="1" ref="P54" ca="1">IF(ROW()-ROW($J$2:$J$111)+1&gt;ROWS($I$2:$I$111)-COUNTBLANK($I$2:$I$111),"",INDIRECT(ADDRESS(SMALL((IF($I$2:$I$111&lt;&gt;"",ROW($I$2:$I$111),ROW()+ROWS($I$2:$I$111))),ROW()-ROW($J$2:$J$111)+1),COLUMN($I$2:$I$111),4)))</f>
        <v/>
      </c>
    </row>
    <row r="55" spans="4:16" x14ac:dyDescent="0.25">
      <c r="D55" s="917"/>
      <c r="E55" s="145" t="str">
        <f>IF(H55="","","2018")</f>
        <v/>
      </c>
      <c r="F55" s="146" t="str">
        <f t="shared" si="12"/>
        <v/>
      </c>
      <c r="G55" s="146" t="str">
        <f t="shared" si="8"/>
        <v/>
      </c>
      <c r="H55" s="131" t="str">
        <f>IF(A7="relevant",IF(Matrix!Q23&lt;Berechnung2!$G$38,Berechnung2!$L$38,""),"")</f>
        <v/>
      </c>
      <c r="I55" s="121" t="str">
        <f>IF(H55="","",VLOOKUP(F55,Berechnung2!$I$15:$J$25,2,FALSE))</f>
        <v/>
      </c>
      <c r="J55" s="132" t="str">
        <f t="shared" si="10"/>
        <v/>
      </c>
      <c r="L55" s="55" t="str">
        <f t="array" aca="1" ref="L55" ca="1">IF(ROW()-ROW($F$2:$F$111)+1&gt;ROWS($E$2:$E$111)-COUNTBLANK($E$2:$E$111),"",INDIRECT(ADDRESS(SMALL((IF($E$2:$E$111&gt;"",ROW($E$2:$E$111),ROW()+ROWS($E$2:$E$111))),ROW()-ROW($F$2:$F$111)+1),COLUMN($E$2:$E$111),4)))</f>
        <v/>
      </c>
      <c r="M55" s="55" t="str">
        <f t="array" aca="1" ref="M55" ca="1">IF(ROW()-ROW($G$2:$G$111)+1&gt;ROWS($F$2:$F$111)-COUNTBLANK($F$2:$F$111),"",INDIRECT(ADDRESS(SMALL((IF($F$2:$F$111&lt;&gt;"",ROW($F$2:$F$111),ROW()+ROWS($F$2:$F$111))),ROW()-ROW($G$2:$G$111)+1),COLUMN($F$2:$F$111),4)))</f>
        <v/>
      </c>
      <c r="N55" s="55" t="str">
        <f t="array" aca="1" ref="N55" ca="1">IF(ROW()-ROW($H$2:$H$111)+1&gt;ROWS($G$2:$G$111)-COUNTBLANK($G$2:$G$111),"",INDIRECT(ADDRESS(SMALL((IF($G$2:$G$111&lt;&gt;"",ROW($G$2:$G$111),ROW()+ROWS($G$2:$G$111))),ROW()-ROW($H$2:$H$111)+1),COLUMN($G$2:$G$111),4)))</f>
        <v/>
      </c>
      <c r="O55" s="121" t="str">
        <f t="array" aca="1" ref="O55" ca="1">IF(ROW()-ROW($I$2:$I$111)+1&gt;ROWS($H$2:$H$111)-COUNTBLANK($H$2:$H$111),"",INDIRECT(ADDRESS(SMALL((IF($H$2:$H$111&lt;&gt;"",ROW($H$2:$H$111),ROW()+ROWS($H$2:$H$111))),ROW()-ROW($I$2:$I$111)+1),COLUMN($H$2:$H$111),4)))</f>
        <v/>
      </c>
      <c r="P55" s="121" t="str">
        <f t="array" aca="1" ref="P55" ca="1">IF(ROW()-ROW($J$2:$J$111)+1&gt;ROWS($I$2:$I$111)-COUNTBLANK($I$2:$I$111),"",INDIRECT(ADDRESS(SMALL((IF($I$2:$I$111&lt;&gt;"",ROW($I$2:$I$111),ROW()+ROWS($I$2:$I$111))),ROW()-ROW($J$2:$J$111)+1),COLUMN($I$2:$I$111),4)))</f>
        <v/>
      </c>
    </row>
    <row r="56" spans="4:16" x14ac:dyDescent="0.25">
      <c r="D56" s="917"/>
      <c r="E56" s="145" t="str">
        <f>IF(H56="","","2019")</f>
        <v/>
      </c>
      <c r="F56" s="146" t="str">
        <f t="shared" si="12"/>
        <v/>
      </c>
      <c r="G56" s="146" t="str">
        <f t="shared" si="8"/>
        <v/>
      </c>
      <c r="H56" s="131" t="str">
        <f>IF(A8="relevant",IF(Matrix!Q24&lt;Berechnung2!$G$38,Berechnung2!$L$38,""),"")</f>
        <v/>
      </c>
      <c r="I56" s="121" t="str">
        <f>IF(H56="","",VLOOKUP(F56,Berechnung2!$I$15:$J$25,2,FALSE))</f>
        <v/>
      </c>
      <c r="J56" s="132" t="str">
        <f t="shared" si="10"/>
        <v/>
      </c>
      <c r="L56" s="55" t="str">
        <f t="array" aca="1" ref="L56" ca="1">IF(ROW()-ROW($F$2:$F$111)+1&gt;ROWS($E$2:$E$111)-COUNTBLANK($E$2:$E$111),"",INDIRECT(ADDRESS(SMALL((IF($E$2:$E$111&gt;"",ROW($E$2:$E$111),ROW()+ROWS($E$2:$E$111))),ROW()-ROW($F$2:$F$111)+1),COLUMN($E$2:$E$111),4)))</f>
        <v/>
      </c>
      <c r="M56" s="55" t="str">
        <f t="array" aca="1" ref="M56" ca="1">IF(ROW()-ROW($G$2:$G$111)+1&gt;ROWS($F$2:$F$111)-COUNTBLANK($F$2:$F$111),"",INDIRECT(ADDRESS(SMALL((IF($F$2:$F$111&lt;&gt;"",ROW($F$2:$F$111),ROW()+ROWS($F$2:$F$111))),ROW()-ROW($G$2:$G$111)+1),COLUMN($F$2:$F$111),4)))</f>
        <v/>
      </c>
      <c r="N56" s="55" t="str">
        <f t="array" aca="1" ref="N56" ca="1">IF(ROW()-ROW($H$2:$H$111)+1&gt;ROWS($G$2:$G$111)-COUNTBLANK($G$2:$G$111),"",INDIRECT(ADDRESS(SMALL((IF($G$2:$G$111&lt;&gt;"",ROW($G$2:$G$111),ROW()+ROWS($G$2:$G$111))),ROW()-ROW($H$2:$H$111)+1),COLUMN($G$2:$G$111),4)))</f>
        <v/>
      </c>
      <c r="O56" s="121" t="str">
        <f t="array" aca="1" ref="O56" ca="1">IF(ROW()-ROW($I$2:$I$111)+1&gt;ROWS($H$2:$H$111)-COUNTBLANK($H$2:$H$111),"",INDIRECT(ADDRESS(SMALL((IF($H$2:$H$111&lt;&gt;"",ROW($H$2:$H$111),ROW()+ROWS($H$2:$H$111))),ROW()-ROW($I$2:$I$111)+1),COLUMN($H$2:$H$111),4)))</f>
        <v/>
      </c>
      <c r="P56" s="121" t="str">
        <f t="array" aca="1" ref="P56" ca="1">IF(ROW()-ROW($J$2:$J$111)+1&gt;ROWS($I$2:$I$111)-COUNTBLANK($I$2:$I$111),"",INDIRECT(ADDRESS(SMALL((IF($I$2:$I$111&lt;&gt;"",ROW($I$2:$I$111),ROW()+ROWS($I$2:$I$111))),ROW()-ROW($J$2:$J$111)+1),COLUMN($I$2:$I$111),4)))</f>
        <v/>
      </c>
    </row>
    <row r="57" spans="4:16" x14ac:dyDescent="0.25">
      <c r="D57" s="917"/>
      <c r="E57" s="145" t="str">
        <f>IF(H57="","","2020")</f>
        <v/>
      </c>
      <c r="F57" s="146" t="str">
        <f t="shared" si="12"/>
        <v/>
      </c>
      <c r="G57" s="146" t="str">
        <f t="shared" si="8"/>
        <v/>
      </c>
      <c r="H57" s="131" t="str">
        <f>IF(A9="relevant",IF(Matrix!Q25&lt;Berechnung2!$G$38,Berechnung2!$L$38,""),"")</f>
        <v/>
      </c>
      <c r="I57" s="121" t="str">
        <f>IF(H57="","",VLOOKUP(F57,Berechnung2!$I$15:$J$25,2,FALSE))</f>
        <v/>
      </c>
      <c r="J57" s="132" t="str">
        <f t="shared" si="10"/>
        <v/>
      </c>
      <c r="L57" s="55" t="str">
        <f t="array" aca="1" ref="L57" ca="1">IF(ROW()-ROW($F$2:$F$111)+1&gt;ROWS($E$2:$E$111)-COUNTBLANK($E$2:$E$111),"",INDIRECT(ADDRESS(SMALL((IF($E$2:$E$111&gt;"",ROW($E$2:$E$111),ROW()+ROWS($E$2:$E$111))),ROW()-ROW($F$2:$F$111)+1),COLUMN($E$2:$E$111),4)))</f>
        <v/>
      </c>
      <c r="M57" s="55" t="str">
        <f t="array" aca="1" ref="M57" ca="1">IF(ROW()-ROW($G$2:$G$111)+1&gt;ROWS($F$2:$F$111)-COUNTBLANK($F$2:$F$111),"",INDIRECT(ADDRESS(SMALL((IF($F$2:$F$111&lt;&gt;"",ROW($F$2:$F$111),ROW()+ROWS($F$2:$F$111))),ROW()-ROW($G$2:$G$111)+1),COLUMN($F$2:$F$111),4)))</f>
        <v/>
      </c>
      <c r="N57" s="55" t="str">
        <f t="array" aca="1" ref="N57" ca="1">IF(ROW()-ROW($H$2:$H$111)+1&gt;ROWS($G$2:$G$111)-COUNTBLANK($G$2:$G$111),"",INDIRECT(ADDRESS(SMALL((IF($G$2:$G$111&lt;&gt;"",ROW($G$2:$G$111),ROW()+ROWS($G$2:$G$111))),ROW()-ROW($H$2:$H$111)+1),COLUMN($G$2:$G$111),4)))</f>
        <v/>
      </c>
      <c r="O57" s="121" t="str">
        <f t="array" aca="1" ref="O57" ca="1">IF(ROW()-ROW($I$2:$I$111)+1&gt;ROWS($H$2:$H$111)-COUNTBLANK($H$2:$H$111),"",INDIRECT(ADDRESS(SMALL((IF($H$2:$H$111&lt;&gt;"",ROW($H$2:$H$111),ROW()+ROWS($H$2:$H$111))),ROW()-ROW($I$2:$I$111)+1),COLUMN($H$2:$H$111),4)))</f>
        <v/>
      </c>
      <c r="P57" s="121" t="str">
        <f t="array" aca="1" ref="P57" ca="1">IF(ROW()-ROW($J$2:$J$111)+1&gt;ROWS($I$2:$I$111)-COUNTBLANK($I$2:$I$111),"",INDIRECT(ADDRESS(SMALL((IF($I$2:$I$111&lt;&gt;"",ROW($I$2:$I$111),ROW()+ROWS($I$2:$I$111))),ROW()-ROW($J$2:$J$111)+1),COLUMN($I$2:$I$111),4)))</f>
        <v/>
      </c>
    </row>
    <row r="58" spans="4:16" ht="15" customHeight="1" x14ac:dyDescent="0.25">
      <c r="D58" s="917"/>
      <c r="E58" s="145" t="str">
        <f>IF(H58="","","2021")</f>
        <v/>
      </c>
      <c r="F58" s="146" t="str">
        <f t="shared" si="12"/>
        <v/>
      </c>
      <c r="G58" s="146" t="str">
        <f t="shared" si="8"/>
        <v/>
      </c>
      <c r="H58" s="131" t="str">
        <f>IF(A10="relevant",IF(Matrix!Q26&lt;Berechnung2!$G$38,Berechnung2!$L$38,""),"")</f>
        <v/>
      </c>
      <c r="I58" s="121" t="str">
        <f>IF(H58="","",VLOOKUP(F58,Berechnung2!$I$15:$J$25,2,FALSE))</f>
        <v/>
      </c>
      <c r="J58" s="132" t="str">
        <f t="shared" si="10"/>
        <v/>
      </c>
      <c r="L58" s="55" t="str">
        <f t="array" aca="1" ref="L58" ca="1">IF(ROW()-ROW($F$2:$F$111)+1&gt;ROWS($E$2:$E$111)-COUNTBLANK($E$2:$E$111),"",INDIRECT(ADDRESS(SMALL((IF($E$2:$E$111&gt;"",ROW($E$2:$E$111),ROW()+ROWS($E$2:$E$111))),ROW()-ROW($F$2:$F$111)+1),COLUMN($E$2:$E$111),4)))</f>
        <v/>
      </c>
      <c r="M58" s="55" t="str">
        <f t="array" aca="1" ref="M58" ca="1">IF(ROW()-ROW($G$2:$G$111)+1&gt;ROWS($F$2:$F$111)-COUNTBLANK($F$2:$F$111),"",INDIRECT(ADDRESS(SMALL((IF($F$2:$F$111&lt;&gt;"",ROW($F$2:$F$111),ROW()+ROWS($F$2:$F$111))),ROW()-ROW($G$2:$G$111)+1),COLUMN($F$2:$F$111),4)))</f>
        <v/>
      </c>
      <c r="N58" s="55" t="str">
        <f t="array" aca="1" ref="N58" ca="1">IF(ROW()-ROW($H$2:$H$111)+1&gt;ROWS($G$2:$G$111)-COUNTBLANK($G$2:$G$111),"",INDIRECT(ADDRESS(SMALL((IF($G$2:$G$111&lt;&gt;"",ROW($G$2:$G$111),ROW()+ROWS($G$2:$G$111))),ROW()-ROW($H$2:$H$111)+1),COLUMN($G$2:$G$111),4)))</f>
        <v/>
      </c>
      <c r="O58" s="121" t="str">
        <f t="array" aca="1" ref="O58" ca="1">IF(ROW()-ROW($I$2:$I$111)+1&gt;ROWS($H$2:$H$111)-COUNTBLANK($H$2:$H$111),"",INDIRECT(ADDRESS(SMALL((IF($H$2:$H$111&lt;&gt;"",ROW($H$2:$H$111),ROW()+ROWS($H$2:$H$111))),ROW()-ROW($I$2:$I$111)+1),COLUMN($H$2:$H$111),4)))</f>
        <v/>
      </c>
      <c r="P58" s="121" t="str">
        <f t="array" aca="1" ref="P58" ca="1">IF(ROW()-ROW($J$2:$J$111)+1&gt;ROWS($I$2:$I$111)-COUNTBLANK($I$2:$I$111),"",INDIRECT(ADDRESS(SMALL((IF($I$2:$I$111&lt;&gt;"",ROW($I$2:$I$111),ROW()+ROWS($I$2:$I$111))),ROW()-ROW($J$2:$J$111)+1),COLUMN($I$2:$I$111),4)))</f>
        <v/>
      </c>
    </row>
    <row r="59" spans="4:16" x14ac:dyDescent="0.25">
      <c r="D59" s="917"/>
      <c r="E59" s="145" t="str">
        <f>IF(H59="","","2022")</f>
        <v/>
      </c>
      <c r="F59" s="146" t="str">
        <f t="shared" si="12"/>
        <v/>
      </c>
      <c r="G59" s="146" t="str">
        <f t="shared" si="8"/>
        <v/>
      </c>
      <c r="H59" s="131" t="str">
        <f>IF(A11="relevant",IF(Matrix!Q27&lt;Berechnung2!$G$38,Berechnung2!$L$38,""),"")</f>
        <v/>
      </c>
      <c r="I59" s="121" t="str">
        <f>IF(H59="","",VLOOKUP(F59,Berechnung2!$I$15:$J$25,2,FALSE))</f>
        <v/>
      </c>
      <c r="J59" s="132" t="str">
        <f t="shared" si="10"/>
        <v/>
      </c>
      <c r="L59" s="55" t="str">
        <f t="array" aca="1" ref="L59" ca="1">IF(ROW()-ROW($F$2:$F$111)+1&gt;ROWS($E$2:$E$111)-COUNTBLANK($E$2:$E$111),"",INDIRECT(ADDRESS(SMALL((IF($E$2:$E$111&gt;"",ROW($E$2:$E$111),ROW()+ROWS($E$2:$E$111))),ROW()-ROW($F$2:$F$111)+1),COLUMN($E$2:$E$111),4)))</f>
        <v/>
      </c>
      <c r="M59" s="55" t="str">
        <f t="array" aca="1" ref="M59" ca="1">IF(ROW()-ROW($G$2:$G$111)+1&gt;ROWS($F$2:$F$111)-COUNTBLANK($F$2:$F$111),"",INDIRECT(ADDRESS(SMALL((IF($F$2:$F$111&lt;&gt;"",ROW($F$2:$F$111),ROW()+ROWS($F$2:$F$111))),ROW()-ROW($G$2:$G$111)+1),COLUMN($F$2:$F$111),4)))</f>
        <v/>
      </c>
      <c r="N59" s="55" t="str">
        <f t="array" aca="1" ref="N59" ca="1">IF(ROW()-ROW($H$2:$H$111)+1&gt;ROWS($G$2:$G$111)-COUNTBLANK($G$2:$G$111),"",INDIRECT(ADDRESS(SMALL((IF($G$2:$G$111&lt;&gt;"",ROW($G$2:$G$111),ROW()+ROWS($G$2:$G$111))),ROW()-ROW($H$2:$H$111)+1),COLUMN($G$2:$G$111),4)))</f>
        <v/>
      </c>
      <c r="O59" s="121" t="str">
        <f t="array" aca="1" ref="O59" ca="1">IF(ROW()-ROW($I$2:$I$111)+1&gt;ROWS($H$2:$H$111)-COUNTBLANK($H$2:$H$111),"",INDIRECT(ADDRESS(SMALL((IF($H$2:$H$111&lt;&gt;"",ROW($H$2:$H$111),ROW()+ROWS($H$2:$H$111))),ROW()-ROW($I$2:$I$111)+1),COLUMN($H$2:$H$111),4)))</f>
        <v/>
      </c>
      <c r="P59" s="121" t="str">
        <f t="array" aca="1" ref="P59" ca="1">IF(ROW()-ROW($J$2:$J$111)+1&gt;ROWS($I$2:$I$111)-COUNTBLANK($I$2:$I$111),"",INDIRECT(ADDRESS(SMALL((IF($I$2:$I$111&lt;&gt;"",ROW($I$2:$I$111),ROW()+ROWS($I$2:$I$111))),ROW()-ROW($J$2:$J$111)+1),COLUMN($I$2:$I$111),4)))</f>
        <v/>
      </c>
    </row>
    <row r="60" spans="4:16" x14ac:dyDescent="0.25">
      <c r="D60" s="181"/>
      <c r="E60" s="145" t="str">
        <f>IF(H60="","","2023")</f>
        <v/>
      </c>
      <c r="F60" s="415"/>
      <c r="G60" s="415"/>
      <c r="H60" s="416"/>
      <c r="I60" s="417"/>
      <c r="J60" s="418"/>
      <c r="L60" s="55" t="str">
        <f t="array" aca="1" ref="L60" ca="1">IF(ROW()-ROW($F$2:$F$111)+1&gt;ROWS($E$2:$E$111)-COUNTBLANK($E$2:$E$111),"",INDIRECT(ADDRESS(SMALL((IF($E$2:$E$111&gt;"",ROW($E$2:$E$111),ROW()+ROWS($E$2:$E$111))),ROW()-ROW($F$2:$F$111)+1),COLUMN($E$2:$E$111),4)))</f>
        <v/>
      </c>
      <c r="M60" s="55" t="str">
        <f t="array" aca="1" ref="M60" ca="1">IF(ROW()-ROW($G$2:$G$111)+1&gt;ROWS($F$2:$F$111)-COUNTBLANK($F$2:$F$111),"",INDIRECT(ADDRESS(SMALL((IF($F$2:$F$111&lt;&gt;"",ROW($F$2:$F$111),ROW()+ROWS($F$2:$F$111))),ROW()-ROW($G$2:$G$111)+1),COLUMN($F$2:$F$111),4)))</f>
        <v/>
      </c>
      <c r="N60" s="55" t="str">
        <f t="array" aca="1" ref="N60" ca="1">IF(ROW()-ROW($H$2:$H$111)+1&gt;ROWS($G$2:$G$111)-COUNTBLANK($G$2:$G$111),"",INDIRECT(ADDRESS(SMALL((IF($G$2:$G$111&lt;&gt;"",ROW($G$2:$G$111),ROW()+ROWS($G$2:$G$111))),ROW()-ROW($H$2:$H$111)+1),COLUMN($G$2:$G$111),4)))</f>
        <v/>
      </c>
      <c r="O60" s="121" t="str">
        <f t="array" aca="1" ref="O60" ca="1">IF(ROW()-ROW($I$2:$I$111)+1&gt;ROWS($H$2:$H$111)-COUNTBLANK($H$2:$H$111),"",INDIRECT(ADDRESS(SMALL((IF($H$2:$H$111&lt;&gt;"",ROW($H$2:$H$111),ROW()+ROWS($H$2:$H$111))),ROW()-ROW($I$2:$I$111)+1),COLUMN($H$2:$H$111),4)))</f>
        <v/>
      </c>
      <c r="P60" s="121" t="str">
        <f t="array" aca="1" ref="P60" ca="1">IF(ROW()-ROW($J$2:$J$111)+1&gt;ROWS($I$2:$I$111)-COUNTBLANK($I$2:$I$111),"",INDIRECT(ADDRESS(SMALL((IF($I$2:$I$111&lt;&gt;"",ROW($I$2:$I$111),ROW()+ROWS($I$2:$I$111))),ROW()-ROW($J$2:$J$111)+1),COLUMN($I$2:$I$111),4)))</f>
        <v/>
      </c>
    </row>
    <row r="61" spans="4:16" ht="11.25" customHeight="1" thickBot="1" x14ac:dyDescent="0.3">
      <c r="D61" s="182" t="s">
        <v>92</v>
      </c>
      <c r="E61" s="148" t="str">
        <f>IF(H61="","","2024")</f>
        <v/>
      </c>
      <c r="F61" s="411"/>
      <c r="G61" s="411"/>
      <c r="H61" s="423"/>
      <c r="I61" s="413"/>
      <c r="J61" s="414"/>
      <c r="L61" s="55" t="str">
        <f t="array" aca="1" ref="L61" ca="1">IF(ROW()-ROW($F$2:$F$111)+1&gt;ROWS($E$2:$E$111)-COUNTBLANK($E$2:$E$111),"",INDIRECT(ADDRESS(SMALL((IF($E$2:$E$111&gt;"",ROW($E$2:$E$111),ROW()+ROWS($E$2:$E$111))),ROW()-ROW($F$2:$F$111)+1),COLUMN($E$2:$E$111),4)))</f>
        <v/>
      </c>
      <c r="M61" s="55" t="str">
        <f t="array" aca="1" ref="M61" ca="1">IF(ROW()-ROW($G$2:$G$111)+1&gt;ROWS($F$2:$F$111)-COUNTBLANK($F$2:$F$111),"",INDIRECT(ADDRESS(SMALL((IF($F$2:$F$111&lt;&gt;"",ROW($F$2:$F$111),ROW()+ROWS($F$2:$F$111))),ROW()-ROW($G$2:$G$111)+1),COLUMN($F$2:$F$111),4)))</f>
        <v/>
      </c>
      <c r="N61" s="55" t="str">
        <f t="array" aca="1" ref="N61" ca="1">IF(ROW()-ROW($H$2:$H$111)+1&gt;ROWS($G$2:$G$111)-COUNTBLANK($G$2:$G$111),"",INDIRECT(ADDRESS(SMALL((IF($G$2:$G$111&lt;&gt;"",ROW($G$2:$G$111),ROW()+ROWS($G$2:$G$111))),ROW()-ROW($H$2:$H$111)+1),COLUMN($G$2:$G$111),4)))</f>
        <v/>
      </c>
      <c r="O61" s="121" t="str">
        <f t="array" aca="1" ref="O61" ca="1">IF(ROW()-ROW($I$2:$I$111)+1&gt;ROWS($H$2:$H$111)-COUNTBLANK($H$2:$H$111),"",INDIRECT(ADDRESS(SMALL((IF($H$2:$H$111&lt;&gt;"",ROW($H$2:$H$111),ROW()+ROWS($H$2:$H$111))),ROW()-ROW($I$2:$I$111)+1),COLUMN($H$2:$H$111),4)))</f>
        <v/>
      </c>
      <c r="P61" s="121" t="str">
        <f t="array" aca="1" ref="P61" ca="1">IF(ROW()-ROW($J$2:$J$111)+1&gt;ROWS($I$2:$I$111)-COUNTBLANK($I$2:$I$111),"",INDIRECT(ADDRESS(SMALL((IF($I$2:$I$111&lt;&gt;"",ROW($I$2:$I$111),ROW()+ROWS($I$2:$I$111))),ROW()-ROW($J$2:$J$111)+1),COLUMN($I$2:$I$111),4)))</f>
        <v/>
      </c>
    </row>
    <row r="62" spans="4:16" x14ac:dyDescent="0.25">
      <c r="D62" s="181" t="s">
        <v>461</v>
      </c>
      <c r="E62" s="176" t="str">
        <f>IF(H62="","","2013")</f>
        <v/>
      </c>
      <c r="F62" s="176" t="str">
        <f>IF(H62="","","p")</f>
        <v/>
      </c>
      <c r="G62" s="176" t="str">
        <f t="shared" si="8"/>
        <v/>
      </c>
      <c r="H62" s="410" t="str">
        <f>IF(A2="relevant",IF(AND(Matrix!U18="",Matrix!V18="",Matrix!W18="",Matrix!X18="",Matrix!Y18=""),"",IF(Matrix!U18&lt;MAX(Matrix!V18:Y18),Berechnung2!$L$40,"")),"")</f>
        <v/>
      </c>
      <c r="I62" s="178" t="str">
        <f>IF(H62="","",VLOOKUP(F62,Berechnung2!$I$15:$J$25,2,FALSE))</f>
        <v/>
      </c>
      <c r="J62" s="179" t="str">
        <f t="shared" ref="J62:J74" si="13">IF(H62&lt;&gt;"",1,"")</f>
        <v/>
      </c>
      <c r="L62" s="55" t="str">
        <f t="array" aca="1" ref="L62" ca="1">IF(ROW()-ROW($F$2:$F$111)+1&gt;ROWS($E$2:$E$111)-COUNTBLANK($E$2:$E$111),"",INDIRECT(ADDRESS(SMALL((IF($E$2:$E$111&gt;"",ROW($E$2:$E$111),ROW()+ROWS($E$2:$E$111))),ROW()-ROW($F$2:$F$111)+1),COLUMN($E$2:$E$111),4)))</f>
        <v/>
      </c>
      <c r="M62" s="55" t="str">
        <f t="array" aca="1" ref="M62" ca="1">IF(ROW()-ROW($G$2:$G$111)+1&gt;ROWS($F$2:$F$111)-COUNTBLANK($F$2:$F$111),"",INDIRECT(ADDRESS(SMALL((IF($F$2:$F$111&lt;&gt;"",ROW($F$2:$F$111),ROW()+ROWS($F$2:$F$111))),ROW()-ROW($G$2:$G$111)+1),COLUMN($F$2:$F$111),4)))</f>
        <v/>
      </c>
      <c r="N62" s="55" t="str">
        <f t="array" aca="1" ref="N62" ca="1">IF(ROW()-ROW($H$2:$H$111)+1&gt;ROWS($G$2:$G$111)-COUNTBLANK($G$2:$G$111),"",INDIRECT(ADDRESS(SMALL((IF($G$2:$G$111&lt;&gt;"",ROW($G$2:$G$111),ROW()+ROWS($G$2:$G$111))),ROW()-ROW($H$2:$H$111)+1),COLUMN($G$2:$G$111),4)))</f>
        <v/>
      </c>
      <c r="O62" s="121" t="str">
        <f t="array" aca="1" ref="O62" ca="1">IF(ROW()-ROW($I$2:$I$111)+1&gt;ROWS($H$2:$H$111)-COUNTBLANK($H$2:$H$111),"",INDIRECT(ADDRESS(SMALL((IF($H$2:$H$111&lt;&gt;"",ROW($H$2:$H$111),ROW()+ROWS($H$2:$H$111))),ROW()-ROW($I$2:$I$111)+1),COLUMN($H$2:$H$111),4)))</f>
        <v/>
      </c>
      <c r="P62" s="121" t="str">
        <f t="array" aca="1" ref="P62" ca="1">IF(ROW()-ROW($J$2:$J$111)+1&gt;ROWS($I$2:$I$111)-COUNTBLANK($I$2:$I$111),"",INDIRECT(ADDRESS(SMALL((IF($I$2:$I$111&lt;&gt;"",ROW($I$2:$I$111),ROW()+ROWS($I$2:$I$111))),ROW()-ROW($J$2:$J$111)+1),COLUMN($I$2:$I$111),4)))</f>
        <v/>
      </c>
    </row>
    <row r="63" spans="4:16" x14ac:dyDescent="0.25">
      <c r="D63" s="917" t="s">
        <v>88</v>
      </c>
      <c r="E63" s="194" t="str">
        <f>IF(H63="","","2014")</f>
        <v/>
      </c>
      <c r="F63" s="146" t="str">
        <f t="shared" ref="F63:F71" si="14">IF(H63="","","p")</f>
        <v/>
      </c>
      <c r="G63" s="146" t="str">
        <f t="shared" si="8"/>
        <v/>
      </c>
      <c r="H63" s="131" t="str">
        <f>IF(A3="relevant",IF(AND(Matrix!U19="",Matrix!V19="",Matrix!W19="",Matrix!X19="",Matrix!Y19=""),"",IF(Matrix!U19&lt;MAX(Matrix!V19:Y19),Berechnung2!$L$40,"")),"")</f>
        <v/>
      </c>
      <c r="I63" s="121" t="str">
        <f>IF(H63="","",VLOOKUP(F63,Berechnung2!$I$15:$J$25,2,FALSE))</f>
        <v/>
      </c>
      <c r="J63" s="132" t="str">
        <f t="shared" si="13"/>
        <v/>
      </c>
      <c r="L63" s="55" t="str">
        <f t="array" aca="1" ref="L63" ca="1">IF(ROW()-ROW($F$2:$F$111)+1&gt;ROWS($E$2:$E$111)-COUNTBLANK($E$2:$E$111),"",INDIRECT(ADDRESS(SMALL((IF($E$2:$E$111&gt;"",ROW($E$2:$E$111),ROW()+ROWS($E$2:$E$111))),ROW()-ROW($F$2:$F$111)+1),COLUMN($E$2:$E$111),4)))</f>
        <v/>
      </c>
      <c r="M63" s="55" t="str">
        <f t="array" aca="1" ref="M63" ca="1">IF(ROW()-ROW($G$2:$G$111)+1&gt;ROWS($F$2:$F$111)-COUNTBLANK($F$2:$F$111),"",INDIRECT(ADDRESS(SMALL((IF($F$2:$F$111&lt;&gt;"",ROW($F$2:$F$111),ROW()+ROWS($F$2:$F$111))),ROW()-ROW($G$2:$G$111)+1),COLUMN($F$2:$F$111),4)))</f>
        <v/>
      </c>
      <c r="N63" s="55" t="str">
        <f t="array" aca="1" ref="N63" ca="1">IF(ROW()-ROW($H$2:$H$111)+1&gt;ROWS($G$2:$G$111)-COUNTBLANK($G$2:$G$111),"",INDIRECT(ADDRESS(SMALL((IF($G$2:$G$111&lt;&gt;"",ROW($G$2:$G$111),ROW()+ROWS($G$2:$G$111))),ROW()-ROW($H$2:$H$111)+1),COLUMN($G$2:$G$111),4)))</f>
        <v/>
      </c>
      <c r="O63" s="121" t="str">
        <f t="array" aca="1" ref="O63" ca="1">IF(ROW()-ROW($I$2:$I$111)+1&gt;ROWS($H$2:$H$111)-COUNTBLANK($H$2:$H$111),"",INDIRECT(ADDRESS(SMALL((IF($H$2:$H$111&lt;&gt;"",ROW($H$2:$H$111),ROW()+ROWS($H$2:$H$111))),ROW()-ROW($I$2:$I$111)+1),COLUMN($H$2:$H$111),4)))</f>
        <v/>
      </c>
      <c r="P63" s="121" t="str">
        <f t="array" aca="1" ref="P63" ca="1">IF(ROW()-ROW($J$2:$J$111)+1&gt;ROWS($I$2:$I$111)-COUNTBLANK($I$2:$I$111),"",INDIRECT(ADDRESS(SMALL((IF($I$2:$I$111&lt;&gt;"",ROW($I$2:$I$111),ROW()+ROWS($I$2:$I$111))),ROW()-ROW($J$2:$J$111)+1),COLUMN($I$2:$I$111),4)))</f>
        <v/>
      </c>
    </row>
    <row r="64" spans="4:16" ht="15" customHeight="1" x14ac:dyDescent="0.25">
      <c r="D64" s="917"/>
      <c r="E64" s="194" t="str">
        <f>IF(H64="","","2015")</f>
        <v/>
      </c>
      <c r="F64" s="146" t="str">
        <f t="shared" si="14"/>
        <v/>
      </c>
      <c r="G64" s="146" t="str">
        <f t="shared" si="8"/>
        <v/>
      </c>
      <c r="H64" s="131" t="str">
        <f>IF(A4="relevant",IF(AND(Matrix!U20="",Matrix!V20="",Matrix!W20="",Matrix!X20="",Matrix!Y20=""),"",IF(Matrix!U20&lt;MAX(Matrix!V20:Y20),Berechnung2!$L$40,"")),"")</f>
        <v/>
      </c>
      <c r="I64" s="121" t="str">
        <f>IF(H64="","",VLOOKUP(F64,Berechnung2!$I$15:$J$25,2,FALSE))</f>
        <v/>
      </c>
      <c r="J64" s="132" t="str">
        <f t="shared" si="13"/>
        <v/>
      </c>
      <c r="L64" s="55" t="str">
        <f t="array" aca="1" ref="L64" ca="1">IF(ROW()-ROW($F$2:$F$111)+1&gt;ROWS($E$2:$E$111)-COUNTBLANK($E$2:$E$111),"",INDIRECT(ADDRESS(SMALL((IF($E$2:$E$111&gt;"",ROW($E$2:$E$111),ROW()+ROWS($E$2:$E$111))),ROW()-ROW($F$2:$F$111)+1),COLUMN($E$2:$E$111),4)))</f>
        <v/>
      </c>
      <c r="M64" s="55" t="str">
        <f t="array" aca="1" ref="M64" ca="1">IF(ROW()-ROW($G$2:$G$111)+1&gt;ROWS($F$2:$F$111)-COUNTBLANK($F$2:$F$111),"",INDIRECT(ADDRESS(SMALL((IF($F$2:$F$111&lt;&gt;"",ROW($F$2:$F$111),ROW()+ROWS($F$2:$F$111))),ROW()-ROW($G$2:$G$111)+1),COLUMN($F$2:$F$111),4)))</f>
        <v/>
      </c>
      <c r="N64" s="55" t="str">
        <f t="array" aca="1" ref="N64" ca="1">IF(ROW()-ROW($H$2:$H$111)+1&gt;ROWS($G$2:$G$111)-COUNTBLANK($G$2:$G$111),"",INDIRECT(ADDRESS(SMALL((IF($G$2:$G$111&lt;&gt;"",ROW($G$2:$G$111),ROW()+ROWS($G$2:$G$111))),ROW()-ROW($H$2:$H$111)+1),COLUMN($G$2:$G$111),4)))</f>
        <v/>
      </c>
      <c r="O64" s="121" t="str">
        <f t="array" aca="1" ref="O64" ca="1">IF(ROW()-ROW($I$2:$I$111)+1&gt;ROWS($H$2:$H$111)-COUNTBLANK($H$2:$H$111),"",INDIRECT(ADDRESS(SMALL((IF($H$2:$H$111&lt;&gt;"",ROW($H$2:$H$111),ROW()+ROWS($H$2:$H$111))),ROW()-ROW($I$2:$I$111)+1),COLUMN($H$2:$H$111),4)))</f>
        <v/>
      </c>
      <c r="P64" s="121" t="str">
        <f t="array" aca="1" ref="P64" ca="1">IF(ROW()-ROW($J$2:$J$111)+1&gt;ROWS($I$2:$I$111)-COUNTBLANK($I$2:$I$111),"",INDIRECT(ADDRESS(SMALL((IF($I$2:$I$111&lt;&gt;"",ROW($I$2:$I$111),ROW()+ROWS($I$2:$I$111))),ROW()-ROW($J$2:$J$111)+1),COLUMN($I$2:$I$111),4)))</f>
        <v/>
      </c>
    </row>
    <row r="65" spans="4:16" x14ac:dyDescent="0.25">
      <c r="D65" s="917"/>
      <c r="E65" s="194" t="str">
        <f>IF(H65="","","2016")</f>
        <v/>
      </c>
      <c r="F65" s="146" t="str">
        <f t="shared" si="14"/>
        <v/>
      </c>
      <c r="G65" s="146" t="str">
        <f t="shared" si="8"/>
        <v/>
      </c>
      <c r="H65" s="131" t="str">
        <f>IF(A5="relevant",IF(AND(Matrix!U21="",Matrix!V21="",Matrix!W21="",Matrix!X21="",Matrix!Y21=""),"",IF(Matrix!U21&lt;MAX(Matrix!V21:Y21),Berechnung2!$L$40,"")),"")</f>
        <v/>
      </c>
      <c r="I65" s="121" t="str">
        <f>IF(H65="","",VLOOKUP(F65,Berechnung2!$I$15:$J$25,2,FALSE))</f>
        <v/>
      </c>
      <c r="J65" s="132" t="str">
        <f t="shared" si="13"/>
        <v/>
      </c>
      <c r="L65" s="55" t="str">
        <f t="array" aca="1" ref="L65" ca="1">IF(ROW()-ROW($F$2:$F$111)+1&gt;ROWS($E$2:$E$111)-COUNTBLANK($E$2:$E$111),"",INDIRECT(ADDRESS(SMALL((IF($E$2:$E$111&gt;"",ROW($E$2:$E$111),ROW()+ROWS($E$2:$E$111))),ROW()-ROW($F$2:$F$111)+1),COLUMN($E$2:$E$111),4)))</f>
        <v/>
      </c>
      <c r="M65" s="55" t="str">
        <f t="array" aca="1" ref="M65" ca="1">IF(ROW()-ROW($G$2:$G$111)+1&gt;ROWS($F$2:$F$111)-COUNTBLANK($F$2:$F$111),"",INDIRECT(ADDRESS(SMALL((IF($F$2:$F$111&lt;&gt;"",ROW($F$2:$F$111),ROW()+ROWS($F$2:$F$111))),ROW()-ROW($G$2:$G$111)+1),COLUMN($F$2:$F$111),4)))</f>
        <v/>
      </c>
      <c r="N65" s="55" t="str">
        <f t="array" aca="1" ref="N65" ca="1">IF(ROW()-ROW($H$2:$H$111)+1&gt;ROWS($G$2:$G$111)-COUNTBLANK($G$2:$G$111),"",INDIRECT(ADDRESS(SMALL((IF($G$2:$G$111&lt;&gt;"",ROW($G$2:$G$111),ROW()+ROWS($G$2:$G$111))),ROW()-ROW($H$2:$H$111)+1),COLUMN($G$2:$G$111),4)))</f>
        <v/>
      </c>
      <c r="O65" s="121" t="str">
        <f t="array" aca="1" ref="O65" ca="1">IF(ROW()-ROW($I$2:$I$111)+1&gt;ROWS($H$2:$H$111)-COUNTBLANK($H$2:$H$111),"",INDIRECT(ADDRESS(SMALL((IF($H$2:$H$111&lt;&gt;"",ROW($H$2:$H$111),ROW()+ROWS($H$2:$H$111))),ROW()-ROW($I$2:$I$111)+1),COLUMN($H$2:$H$111),4)))</f>
        <v/>
      </c>
      <c r="P65" s="121" t="str">
        <f t="array" aca="1" ref="P65" ca="1">IF(ROW()-ROW($J$2:$J$111)+1&gt;ROWS($I$2:$I$111)-COUNTBLANK($I$2:$I$111),"",INDIRECT(ADDRESS(SMALL((IF($I$2:$I$111&lt;&gt;"",ROW($I$2:$I$111),ROW()+ROWS($I$2:$I$111))),ROW()-ROW($J$2:$J$111)+1),COLUMN($I$2:$I$111),4)))</f>
        <v/>
      </c>
    </row>
    <row r="66" spans="4:16" x14ac:dyDescent="0.25">
      <c r="D66" s="917"/>
      <c r="E66" s="194" t="str">
        <f>IF(H66="","","2017")</f>
        <v/>
      </c>
      <c r="F66" s="146" t="str">
        <f t="shared" si="14"/>
        <v/>
      </c>
      <c r="G66" s="146" t="str">
        <f t="shared" si="8"/>
        <v/>
      </c>
      <c r="H66" s="131" t="str">
        <f>IF(A6="relevant",IF(AND(Matrix!U22="",Matrix!V22="",Matrix!W22="",Matrix!X22="",Matrix!Y22=""),"",IF(Matrix!U22&lt;MAX(Matrix!V22:Y22),Berechnung2!$L$40,"")),"")</f>
        <v/>
      </c>
      <c r="I66" s="121" t="str">
        <f>IF(H66="","",VLOOKUP(F66,Berechnung2!$I$15:$J$25,2,FALSE))</f>
        <v/>
      </c>
      <c r="J66" s="132" t="str">
        <f t="shared" si="13"/>
        <v/>
      </c>
      <c r="L66" s="55" t="str">
        <f t="array" aca="1" ref="L66" ca="1">IF(ROW()-ROW($F$2:$F$111)+1&gt;ROWS($E$2:$E$111)-COUNTBLANK($E$2:$E$111),"",INDIRECT(ADDRESS(SMALL((IF($E$2:$E$111&gt;"",ROW($E$2:$E$111),ROW()+ROWS($E$2:$E$111))),ROW()-ROW($F$2:$F$111)+1),COLUMN($E$2:$E$111),4)))</f>
        <v/>
      </c>
      <c r="M66" s="55" t="str">
        <f t="array" aca="1" ref="M66" ca="1">IF(ROW()-ROW($G$2:$G$111)+1&gt;ROWS($F$2:$F$111)-COUNTBLANK($F$2:$F$111),"",INDIRECT(ADDRESS(SMALL((IF($F$2:$F$111&lt;&gt;"",ROW($F$2:$F$111),ROW()+ROWS($F$2:$F$111))),ROW()-ROW($G$2:$G$111)+1),COLUMN($F$2:$F$111),4)))</f>
        <v/>
      </c>
      <c r="N66" s="55" t="str">
        <f t="array" aca="1" ref="N66" ca="1">IF(ROW()-ROW($H$2:$H$111)+1&gt;ROWS($G$2:$G$111)-COUNTBLANK($G$2:$G$111),"",INDIRECT(ADDRESS(SMALL((IF($G$2:$G$111&lt;&gt;"",ROW($G$2:$G$111),ROW()+ROWS($G$2:$G$111))),ROW()-ROW($H$2:$H$111)+1),COLUMN($G$2:$G$111),4)))</f>
        <v/>
      </c>
      <c r="O66" s="121" t="str">
        <f t="array" aca="1" ref="O66" ca="1">IF(ROW()-ROW($I$2:$I$111)+1&gt;ROWS($H$2:$H$111)-COUNTBLANK($H$2:$H$111),"",INDIRECT(ADDRESS(SMALL((IF($H$2:$H$111&lt;&gt;"",ROW($H$2:$H$111),ROW()+ROWS($H$2:$H$111))),ROW()-ROW($I$2:$I$111)+1),COLUMN($H$2:$H$111),4)))</f>
        <v/>
      </c>
      <c r="P66" s="121" t="str">
        <f t="array" aca="1" ref="P66" ca="1">IF(ROW()-ROW($J$2:$J$111)+1&gt;ROWS($I$2:$I$111)-COUNTBLANK($I$2:$I$111),"",INDIRECT(ADDRESS(SMALL((IF($I$2:$I$111&lt;&gt;"",ROW($I$2:$I$111),ROW()+ROWS($I$2:$I$111))),ROW()-ROW($J$2:$J$111)+1),COLUMN($I$2:$I$111),4)))</f>
        <v/>
      </c>
    </row>
    <row r="67" spans="4:16" x14ac:dyDescent="0.25">
      <c r="D67" s="917"/>
      <c r="E67" s="194" t="str">
        <f>IF(H67="","","2018")</f>
        <v/>
      </c>
      <c r="F67" s="146" t="str">
        <f t="shared" si="14"/>
        <v/>
      </c>
      <c r="G67" s="146" t="str">
        <f t="shared" si="8"/>
        <v/>
      </c>
      <c r="H67" s="131" t="str">
        <f>IF(A7="relevant",IF(AND(Matrix!U23="",Matrix!V23="",Matrix!W23="",Matrix!X23="",Matrix!Y23=""),"",IF(Matrix!U23&lt;MAX(Matrix!V23:Y23),Berechnung2!$L$40,"")),"")</f>
        <v/>
      </c>
      <c r="I67" s="121" t="str">
        <f>IF(H67="","",VLOOKUP(F67,Berechnung2!$I$15:$J$25,2,FALSE))</f>
        <v/>
      </c>
      <c r="J67" s="132" t="str">
        <f t="shared" si="13"/>
        <v/>
      </c>
      <c r="L67" s="55" t="str">
        <f t="array" aca="1" ref="L67" ca="1">IF(ROW()-ROW($F$2:$F$111)+1&gt;ROWS($E$2:$E$111)-COUNTBLANK($E$2:$E$111),"",INDIRECT(ADDRESS(SMALL((IF($E$2:$E$111&gt;"",ROW($E$2:$E$111),ROW()+ROWS($E$2:$E$111))),ROW()-ROW($F$2:$F$111)+1),COLUMN($E$2:$E$111),4)))</f>
        <v/>
      </c>
      <c r="M67" s="55" t="str">
        <f t="array" aca="1" ref="M67" ca="1">IF(ROW()-ROW($G$2:$G$111)+1&gt;ROWS($F$2:$F$111)-COUNTBLANK($F$2:$F$111),"",INDIRECT(ADDRESS(SMALL((IF($F$2:$F$111&lt;&gt;"",ROW($F$2:$F$111),ROW()+ROWS($F$2:$F$111))),ROW()-ROW($G$2:$G$111)+1),COLUMN($F$2:$F$111),4)))</f>
        <v/>
      </c>
      <c r="N67" s="55" t="str">
        <f t="array" aca="1" ref="N67" ca="1">IF(ROW()-ROW($H$2:$H$111)+1&gt;ROWS($G$2:$G$111)-COUNTBLANK($G$2:$G$111),"",INDIRECT(ADDRESS(SMALL((IF($G$2:$G$111&lt;&gt;"",ROW($G$2:$G$111),ROW()+ROWS($G$2:$G$111))),ROW()-ROW($H$2:$H$111)+1),COLUMN($G$2:$G$111),4)))</f>
        <v/>
      </c>
      <c r="O67" s="121" t="str">
        <f t="array" aca="1" ref="O67" ca="1">IF(ROW()-ROW($I$2:$I$111)+1&gt;ROWS($H$2:$H$111)-COUNTBLANK($H$2:$H$111),"",INDIRECT(ADDRESS(SMALL((IF($H$2:$H$111&lt;&gt;"",ROW($H$2:$H$111),ROW()+ROWS($H$2:$H$111))),ROW()-ROW($I$2:$I$111)+1),COLUMN($H$2:$H$111),4)))</f>
        <v/>
      </c>
      <c r="P67" s="121" t="str">
        <f t="array" aca="1" ref="P67" ca="1">IF(ROW()-ROW($J$2:$J$111)+1&gt;ROWS($I$2:$I$111)-COUNTBLANK($I$2:$I$111),"",INDIRECT(ADDRESS(SMALL((IF($I$2:$I$111&lt;&gt;"",ROW($I$2:$I$111),ROW()+ROWS($I$2:$I$111))),ROW()-ROW($J$2:$J$111)+1),COLUMN($I$2:$I$111),4)))</f>
        <v/>
      </c>
    </row>
    <row r="68" spans="4:16" x14ac:dyDescent="0.25">
      <c r="D68" s="917"/>
      <c r="E68" s="194" t="str">
        <f>IF(H68="","","2019")</f>
        <v/>
      </c>
      <c r="F68" s="146" t="str">
        <f t="shared" si="14"/>
        <v/>
      </c>
      <c r="G68" s="146" t="str">
        <f t="shared" si="8"/>
        <v/>
      </c>
      <c r="H68" s="131" t="str">
        <f>IF(A8="relevant",IF(AND(Matrix!U24="",Matrix!V24="",Matrix!W24="",Matrix!X24="",Matrix!Y24=""),"",IF(Matrix!U24&lt;MAX(Matrix!V24:Y24),Berechnung2!$L$40,"")),"")</f>
        <v/>
      </c>
      <c r="I68" s="121" t="str">
        <f>IF(H68="","",VLOOKUP(F68,Berechnung2!$I$15:$J$25,2,FALSE))</f>
        <v/>
      </c>
      <c r="J68" s="132" t="str">
        <f t="shared" si="13"/>
        <v/>
      </c>
      <c r="L68" s="55" t="str">
        <f t="array" aca="1" ref="L68" ca="1">IF(ROW()-ROW($F$2:$F$111)+1&gt;ROWS($E$2:$E$111)-COUNTBLANK($E$2:$E$111),"",INDIRECT(ADDRESS(SMALL((IF($E$2:$E$111&gt;"",ROW($E$2:$E$111),ROW()+ROWS($E$2:$E$111))),ROW()-ROW($F$2:$F$111)+1),COLUMN($E$2:$E$111),4)))</f>
        <v/>
      </c>
      <c r="M68" s="55" t="str">
        <f t="array" aca="1" ref="M68" ca="1">IF(ROW()-ROW($G$2:$G$111)+1&gt;ROWS($F$2:$F$111)-COUNTBLANK($F$2:$F$111),"",INDIRECT(ADDRESS(SMALL((IF($F$2:$F$111&lt;&gt;"",ROW($F$2:$F$111),ROW()+ROWS($F$2:$F$111))),ROW()-ROW($G$2:$G$111)+1),COLUMN($F$2:$F$111),4)))</f>
        <v/>
      </c>
      <c r="N68" s="55" t="str">
        <f t="array" aca="1" ref="N68" ca="1">IF(ROW()-ROW($H$2:$H$111)+1&gt;ROWS($G$2:$G$111)-COUNTBLANK($G$2:$G$111),"",INDIRECT(ADDRESS(SMALL((IF($G$2:$G$111&lt;&gt;"",ROW($G$2:$G$111),ROW()+ROWS($G$2:$G$111))),ROW()-ROW($H$2:$H$111)+1),COLUMN($G$2:$G$111),4)))</f>
        <v/>
      </c>
      <c r="O68" s="121" t="str">
        <f t="array" aca="1" ref="O68" ca="1">IF(ROW()-ROW($I$2:$I$111)+1&gt;ROWS($H$2:$H$111)-COUNTBLANK($H$2:$H$111),"",INDIRECT(ADDRESS(SMALL((IF($H$2:$H$111&lt;&gt;"",ROW($H$2:$H$111),ROW()+ROWS($H$2:$H$111))),ROW()-ROW($I$2:$I$111)+1),COLUMN($H$2:$H$111),4)))</f>
        <v/>
      </c>
      <c r="P68" s="121" t="str">
        <f t="array" aca="1" ref="P68" ca="1">IF(ROW()-ROW($J$2:$J$111)+1&gt;ROWS($I$2:$I$111)-COUNTBLANK($I$2:$I$111),"",INDIRECT(ADDRESS(SMALL((IF($I$2:$I$111&lt;&gt;"",ROW($I$2:$I$111),ROW()+ROWS($I$2:$I$111))),ROW()-ROW($J$2:$J$111)+1),COLUMN($I$2:$I$111),4)))</f>
        <v/>
      </c>
    </row>
    <row r="69" spans="4:16" x14ac:dyDescent="0.25">
      <c r="D69" s="917"/>
      <c r="E69" s="194" t="str">
        <f>IF(H69="","","2020")</f>
        <v/>
      </c>
      <c r="F69" s="146" t="str">
        <f t="shared" si="14"/>
        <v/>
      </c>
      <c r="G69" s="146" t="str">
        <f t="shared" si="8"/>
        <v/>
      </c>
      <c r="H69" s="131" t="str">
        <f>IF(A9="relevant",IF(AND(Matrix!U25="",Matrix!V25="",Matrix!W25="",Matrix!X25="",Matrix!Y25=""),"",IF(Matrix!U25&lt;MAX(Matrix!V25:Y25),Berechnung2!$L$40,"")),"")</f>
        <v/>
      </c>
      <c r="I69" s="121" t="str">
        <f>IF(H69="","",VLOOKUP(F69,Berechnung2!$I$15:$J$25,2,FALSE))</f>
        <v/>
      </c>
      <c r="J69" s="132" t="str">
        <f t="shared" si="13"/>
        <v/>
      </c>
      <c r="L69" s="55" t="str">
        <f t="array" aca="1" ref="L69" ca="1">IF(ROW()-ROW($F$2:$F$111)+1&gt;ROWS($E$2:$E$111)-COUNTBLANK($E$2:$E$111),"",INDIRECT(ADDRESS(SMALL((IF($E$2:$E$111&gt;"",ROW($E$2:$E$111),ROW()+ROWS($E$2:$E$111))),ROW()-ROW($F$2:$F$111)+1),COLUMN($E$2:$E$111),4)))</f>
        <v/>
      </c>
      <c r="M69" s="55" t="str">
        <f t="array" aca="1" ref="M69" ca="1">IF(ROW()-ROW($G$2:$G$111)+1&gt;ROWS($F$2:$F$111)-COUNTBLANK($F$2:$F$111),"",INDIRECT(ADDRESS(SMALL((IF($F$2:$F$111&lt;&gt;"",ROW($F$2:$F$111),ROW()+ROWS($F$2:$F$111))),ROW()-ROW($G$2:$G$111)+1),COLUMN($F$2:$F$111),4)))</f>
        <v/>
      </c>
      <c r="N69" s="55" t="str">
        <f t="array" aca="1" ref="N69" ca="1">IF(ROW()-ROW($H$2:$H$111)+1&gt;ROWS($G$2:$G$111)-COUNTBLANK($G$2:$G$111),"",INDIRECT(ADDRESS(SMALL((IF($G$2:$G$111&lt;&gt;"",ROW($G$2:$G$111),ROW()+ROWS($G$2:$G$111))),ROW()-ROW($H$2:$H$111)+1),COLUMN($G$2:$G$111),4)))</f>
        <v/>
      </c>
      <c r="O69" s="121" t="str">
        <f t="array" aca="1" ref="O69" ca="1">IF(ROW()-ROW($I$2:$I$111)+1&gt;ROWS($H$2:$H$111)-COUNTBLANK($H$2:$H$111),"",INDIRECT(ADDRESS(SMALL((IF($H$2:$H$111&lt;&gt;"",ROW($H$2:$H$111),ROW()+ROWS($H$2:$H$111))),ROW()-ROW($I$2:$I$111)+1),COLUMN($H$2:$H$111),4)))</f>
        <v/>
      </c>
      <c r="P69" s="121" t="str">
        <f t="array" aca="1" ref="P69" ca="1">IF(ROW()-ROW($J$2:$J$111)+1&gt;ROWS($I$2:$I$111)-COUNTBLANK($I$2:$I$111),"",INDIRECT(ADDRESS(SMALL((IF($I$2:$I$111&lt;&gt;"",ROW($I$2:$I$111),ROW()+ROWS($I$2:$I$111))),ROW()-ROW($J$2:$J$111)+1),COLUMN($I$2:$I$111),4)))</f>
        <v/>
      </c>
    </row>
    <row r="70" spans="4:16" x14ac:dyDescent="0.25">
      <c r="D70" s="917"/>
      <c r="E70" s="194" t="str">
        <f>IF(H70="","","2021")</f>
        <v/>
      </c>
      <c r="F70" s="146" t="str">
        <f t="shared" si="14"/>
        <v/>
      </c>
      <c r="G70" s="146" t="str">
        <f t="shared" si="8"/>
        <v/>
      </c>
      <c r="H70" s="131" t="str">
        <f>IF(A10="relevant",IF(AND(Matrix!U26="",Matrix!V26="",Matrix!W26="",Matrix!X26="",Matrix!Y26=""),"",IF(Matrix!U26&lt;MAX(Matrix!V26:Y26),Berechnung2!$L$40,"")),"")</f>
        <v/>
      </c>
      <c r="I70" s="121" t="str">
        <f>IF(H70="","",VLOOKUP(F70,Berechnung2!$I$15:$J$25,2,FALSE))</f>
        <v/>
      </c>
      <c r="J70" s="132" t="str">
        <f t="shared" si="13"/>
        <v/>
      </c>
      <c r="L70" s="55" t="str">
        <f t="array" aca="1" ref="L70" ca="1">IF(ROW()-ROW($F$2:$F$111)+1&gt;ROWS($E$2:$E$111)-COUNTBLANK($E$2:$E$111),"",INDIRECT(ADDRESS(SMALL((IF($E$2:$E$111&gt;"",ROW($E$2:$E$111),ROW()+ROWS($E$2:$E$111))),ROW()-ROW($F$2:$F$111)+1),COLUMN($E$2:$E$111),4)))</f>
        <v/>
      </c>
      <c r="M70" s="55" t="str">
        <f t="array" aca="1" ref="M70" ca="1">IF(ROW()-ROW($G$2:$G$111)+1&gt;ROWS($F$2:$F$111)-COUNTBLANK($F$2:$F$111),"",INDIRECT(ADDRESS(SMALL((IF($F$2:$F$111&lt;&gt;"",ROW($F$2:$F$111),ROW()+ROWS($F$2:$F$111))),ROW()-ROW($G$2:$G$111)+1),COLUMN($F$2:$F$111),4)))</f>
        <v/>
      </c>
      <c r="N70" s="55" t="str">
        <f t="array" aca="1" ref="N70" ca="1">IF(ROW()-ROW($H$2:$H$111)+1&gt;ROWS($G$2:$G$111)-COUNTBLANK($G$2:$G$111),"",INDIRECT(ADDRESS(SMALL((IF($G$2:$G$111&lt;&gt;"",ROW($G$2:$G$111),ROW()+ROWS($G$2:$G$111))),ROW()-ROW($H$2:$H$111)+1),COLUMN($G$2:$G$111),4)))</f>
        <v/>
      </c>
      <c r="O70" s="121" t="str">
        <f t="array" aca="1" ref="O70" ca="1">IF(ROW()-ROW($I$2:$I$111)+1&gt;ROWS($H$2:$H$111)-COUNTBLANK($H$2:$H$111),"",INDIRECT(ADDRESS(SMALL((IF($H$2:$H$111&lt;&gt;"",ROW($H$2:$H$111),ROW()+ROWS($H$2:$H$111))),ROW()-ROW($I$2:$I$111)+1),COLUMN($H$2:$H$111),4)))</f>
        <v/>
      </c>
      <c r="P70" s="121" t="str">
        <f t="array" aca="1" ref="P70" ca="1">IF(ROW()-ROW($J$2:$J$111)+1&gt;ROWS($I$2:$I$111)-COUNTBLANK($I$2:$I$111),"",INDIRECT(ADDRESS(SMALL((IF($I$2:$I$111&lt;&gt;"",ROW($I$2:$I$111),ROW()+ROWS($I$2:$I$111))),ROW()-ROW($J$2:$J$111)+1),COLUMN($I$2:$I$111),4)))</f>
        <v/>
      </c>
    </row>
    <row r="71" spans="4:16" x14ac:dyDescent="0.25">
      <c r="D71" s="917"/>
      <c r="E71" s="194" t="str">
        <f>IF(H71="","","2022")</f>
        <v/>
      </c>
      <c r="F71" s="146" t="str">
        <f t="shared" si="14"/>
        <v/>
      </c>
      <c r="G71" s="146" t="str">
        <f t="shared" si="8"/>
        <v/>
      </c>
      <c r="H71" s="131" t="str">
        <f>IF(A11="relevant",IF(AND(Matrix!U27="",Matrix!V27="",Matrix!W27="",Matrix!X27="",Matrix!Y27=""),"",IF(Matrix!U27&lt;MAX(Matrix!V27:Y27),Berechnung2!$L$40,"")),"")</f>
        <v/>
      </c>
      <c r="I71" s="121" t="str">
        <f>IF(H71="","",VLOOKUP(F71,Berechnung2!$I$15:$J$25,2,FALSE))</f>
        <v/>
      </c>
      <c r="J71" s="132" t="str">
        <f t="shared" si="13"/>
        <v/>
      </c>
      <c r="L71" s="55" t="str">
        <f t="array" aca="1" ref="L71" ca="1">IF(ROW()-ROW($F$2:$F$111)+1&gt;ROWS($E$2:$E$111)-COUNTBLANK($E$2:$E$111),"",INDIRECT(ADDRESS(SMALL((IF($E$2:$E$111&gt;"",ROW($E$2:$E$111),ROW()+ROWS($E$2:$E$111))),ROW()-ROW($F$2:$F$111)+1),COLUMN($E$2:$E$111),4)))</f>
        <v/>
      </c>
      <c r="M71" s="55" t="str">
        <f t="array" aca="1" ref="M71" ca="1">IF(ROW()-ROW($G$2:$G$111)+1&gt;ROWS($F$2:$F$111)-COUNTBLANK($F$2:$F$111),"",INDIRECT(ADDRESS(SMALL((IF($F$2:$F$111&lt;&gt;"",ROW($F$2:$F$111),ROW()+ROWS($F$2:$F$111))),ROW()-ROW($G$2:$G$111)+1),COLUMN($F$2:$F$111),4)))</f>
        <v/>
      </c>
      <c r="N71" s="55" t="str">
        <f t="array" aca="1" ref="N71" ca="1">IF(ROW()-ROW($H$2:$H$111)+1&gt;ROWS($G$2:$G$111)-COUNTBLANK($G$2:$G$111),"",INDIRECT(ADDRESS(SMALL((IF($G$2:$G$111&lt;&gt;"",ROW($G$2:$G$111),ROW()+ROWS($G$2:$G$111))),ROW()-ROW($H$2:$H$111)+1),COLUMN($G$2:$G$111),4)))</f>
        <v/>
      </c>
      <c r="O71" s="121" t="str">
        <f t="array" aca="1" ref="O71" ca="1">IF(ROW()-ROW($I$2:$I$111)+1&gt;ROWS($H$2:$H$111)-COUNTBLANK($H$2:$H$111),"",INDIRECT(ADDRESS(SMALL((IF($H$2:$H$111&lt;&gt;"",ROW($H$2:$H$111),ROW()+ROWS($H$2:$H$111))),ROW()-ROW($I$2:$I$111)+1),COLUMN($H$2:$H$111),4)))</f>
        <v/>
      </c>
      <c r="P71" s="121" t="str">
        <f t="array" aca="1" ref="P71" ca="1">IF(ROW()-ROW($J$2:$J$111)+1&gt;ROWS($I$2:$I$111)-COUNTBLANK($I$2:$I$111),"",INDIRECT(ADDRESS(SMALL((IF($I$2:$I$111&lt;&gt;"",ROW($I$2:$I$111),ROW()+ROWS($I$2:$I$111))),ROW()-ROW($J$2:$J$111)+1),COLUMN($I$2:$I$111),4)))</f>
        <v/>
      </c>
    </row>
    <row r="72" spans="4:16" x14ac:dyDescent="0.25">
      <c r="D72" s="181"/>
      <c r="E72" s="194" t="str">
        <f>IF(H72="","","2023")</f>
        <v/>
      </c>
      <c r="F72" s="415"/>
      <c r="G72" s="415"/>
      <c r="H72" s="416"/>
      <c r="I72" s="417"/>
      <c r="J72" s="418"/>
      <c r="L72" s="55" t="str">
        <f t="array" aca="1" ref="L72" ca="1">IF(ROW()-ROW($F$2:$F$111)+1&gt;ROWS($E$2:$E$111)-COUNTBLANK($E$2:$E$111),"",INDIRECT(ADDRESS(SMALL((IF($E$2:$E$111&gt;"",ROW($E$2:$E$111),ROW()+ROWS($E$2:$E$111))),ROW()-ROW($F$2:$F$111)+1),COLUMN($E$2:$E$111),4)))</f>
        <v/>
      </c>
      <c r="M72" s="55" t="str">
        <f t="array" aca="1" ref="M72" ca="1">IF(ROW()-ROW($G$2:$G$111)+1&gt;ROWS($F$2:$F$111)-COUNTBLANK($F$2:$F$111),"",INDIRECT(ADDRESS(SMALL((IF($F$2:$F$111&lt;&gt;"",ROW($F$2:$F$111),ROW()+ROWS($F$2:$F$111))),ROW()-ROW($G$2:$G$111)+1),COLUMN($F$2:$F$111),4)))</f>
        <v/>
      </c>
      <c r="N72" s="55" t="str">
        <f t="array" aca="1" ref="N72" ca="1">IF(ROW()-ROW($H$2:$H$111)+1&gt;ROWS($G$2:$G$111)-COUNTBLANK($G$2:$G$111),"",INDIRECT(ADDRESS(SMALL((IF($G$2:$G$111&lt;&gt;"",ROW($G$2:$G$111),ROW()+ROWS($G$2:$G$111))),ROW()-ROW($H$2:$H$111)+1),COLUMN($G$2:$G$111),4)))</f>
        <v/>
      </c>
      <c r="O72" s="121" t="str">
        <f t="array" aca="1" ref="O72" ca="1">IF(ROW()-ROW($I$2:$I$111)+1&gt;ROWS($H$2:$H$111)-COUNTBLANK($H$2:$H$111),"",INDIRECT(ADDRESS(SMALL((IF($H$2:$H$111&lt;&gt;"",ROW($H$2:$H$111),ROW()+ROWS($H$2:$H$111))),ROW()-ROW($I$2:$I$111)+1),COLUMN($H$2:$H$111),4)))</f>
        <v/>
      </c>
      <c r="P72" s="121" t="str">
        <f t="array" aca="1" ref="P72" ca="1">IF(ROW()-ROW($J$2:$J$111)+1&gt;ROWS($I$2:$I$111)-COUNTBLANK($I$2:$I$111),"",INDIRECT(ADDRESS(SMALL((IF($I$2:$I$111&lt;&gt;"",ROW($I$2:$I$111),ROW()+ROWS($I$2:$I$111))),ROW()-ROW($J$2:$J$111)+1),COLUMN($I$2:$I$111),4)))</f>
        <v/>
      </c>
    </row>
    <row r="73" spans="4:16" ht="15" customHeight="1" thickBot="1" x14ac:dyDescent="0.3">
      <c r="D73" s="182" t="s">
        <v>90</v>
      </c>
      <c r="E73" s="194" t="str">
        <f>IF(H73="","","2024")</f>
        <v/>
      </c>
      <c r="F73" s="411"/>
      <c r="G73" s="411"/>
      <c r="H73" s="412"/>
      <c r="I73" s="413"/>
      <c r="J73" s="414"/>
      <c r="L73" s="55" t="str">
        <f t="array" aca="1" ref="L73" ca="1">IF(ROW()-ROW($F$2:$F$111)+1&gt;ROWS($E$2:$E$111)-COUNTBLANK($E$2:$E$111),"",INDIRECT(ADDRESS(SMALL((IF($E$2:$E$111&gt;"",ROW($E$2:$E$111),ROW()+ROWS($E$2:$E$111))),ROW()-ROW($F$2:$F$111)+1),COLUMN($E$2:$E$111),4)))</f>
        <v/>
      </c>
      <c r="M73" s="55" t="str">
        <f t="array" aca="1" ref="M73" ca="1">IF(ROW()-ROW($G$2:$G$111)+1&gt;ROWS($F$2:$F$111)-COUNTBLANK($F$2:$F$111),"",INDIRECT(ADDRESS(SMALL((IF($F$2:$F$111&lt;&gt;"",ROW($F$2:$F$111),ROW()+ROWS($F$2:$F$111))),ROW()-ROW($G$2:$G$111)+1),COLUMN($F$2:$F$111),4)))</f>
        <v/>
      </c>
      <c r="N73" s="55" t="str">
        <f t="array" aca="1" ref="N73" ca="1">IF(ROW()-ROW($H$2:$H$111)+1&gt;ROWS($G$2:$G$111)-COUNTBLANK($G$2:$G$111),"",INDIRECT(ADDRESS(SMALL((IF($G$2:$G$111&lt;&gt;"",ROW($G$2:$G$111),ROW()+ROWS($G$2:$G$111))),ROW()-ROW($H$2:$H$111)+1),COLUMN($G$2:$G$111),4)))</f>
        <v/>
      </c>
      <c r="O73" s="121" t="str">
        <f t="array" aca="1" ref="O73" ca="1">IF(ROW()-ROW($I$2:$I$111)+1&gt;ROWS($H$2:$H$111)-COUNTBLANK($H$2:$H$111),"",INDIRECT(ADDRESS(SMALL((IF($H$2:$H$111&lt;&gt;"",ROW($H$2:$H$111),ROW()+ROWS($H$2:$H$111))),ROW()-ROW($I$2:$I$111)+1),COLUMN($H$2:$H$111),4)))</f>
        <v/>
      </c>
      <c r="P73" s="121" t="str">
        <f t="array" aca="1" ref="P73" ca="1">IF(ROW()-ROW($J$2:$J$111)+1&gt;ROWS($I$2:$I$111)-COUNTBLANK($I$2:$I$111),"",INDIRECT(ADDRESS(SMALL((IF($I$2:$I$111&lt;&gt;"",ROW($I$2:$I$111),ROW()+ROWS($I$2:$I$111))),ROW()-ROW($J$2:$J$111)+1),COLUMN($I$2:$I$111),4)))</f>
        <v/>
      </c>
    </row>
    <row r="74" spans="4:16" ht="20.25" customHeight="1" x14ac:dyDescent="0.25">
      <c r="D74" s="128" t="s">
        <v>461</v>
      </c>
      <c r="E74" s="193" t="str">
        <f>IF(H74="","","2013")</f>
        <v/>
      </c>
      <c r="F74" s="144" t="str">
        <f>IF(H74="","","q")</f>
        <v/>
      </c>
      <c r="G74" s="144" t="str">
        <f>IF(H74="","","1")</f>
        <v/>
      </c>
      <c r="H74" s="410" t="str">
        <f>IF(A2="relevant",IF(AND(Matrix!Z18="",Matrix!AA18="",Matrix!AB18="",Matrix!AC18="",Matrix!AD18=""),"",IF(Matrix!Z18&lt;MAX(Matrix!AA18:AD18),Berechnung2!$L$41,"")),"")</f>
        <v/>
      </c>
      <c r="I74" s="134" t="str">
        <f>IF(H74="","",VLOOKUP(F74,Berechnung2!$I$15:$J$25,2,FALSE))</f>
        <v/>
      </c>
      <c r="J74" s="133" t="str">
        <f t="shared" si="13"/>
        <v/>
      </c>
      <c r="L74" s="55" t="str">
        <f t="array" aca="1" ref="L74" ca="1">IF(ROW()-ROW($F$2:$F$111)+1&gt;ROWS($E$2:$E$111)-COUNTBLANK($E$2:$E$111),"",INDIRECT(ADDRESS(SMALL((IF($E$2:$E$111&gt;"",ROW($E$2:$E$111),ROW()+ROWS($E$2:$E$111))),ROW()-ROW($F$2:$F$111)+1),COLUMN($E$2:$E$111),4)))</f>
        <v/>
      </c>
      <c r="M74" s="55" t="str">
        <f t="array" aca="1" ref="M74" ca="1">IF(ROW()-ROW($G$2:$G$111)+1&gt;ROWS($F$2:$F$111)-COUNTBLANK($F$2:$F$111),"",INDIRECT(ADDRESS(SMALL((IF($F$2:$F$111&lt;&gt;"",ROW($F$2:$F$111),ROW()+ROWS($F$2:$F$111))),ROW()-ROW($G$2:$G$111)+1),COLUMN($F$2:$F$111),4)))</f>
        <v/>
      </c>
      <c r="N74" s="55" t="str">
        <f t="array" aca="1" ref="N74" ca="1">IF(ROW()-ROW($H$2:$H$111)+1&gt;ROWS($G$2:$G$111)-COUNTBLANK($G$2:$G$111),"",INDIRECT(ADDRESS(SMALL((IF($G$2:$G$111&lt;&gt;"",ROW($G$2:$G$111),ROW()+ROWS($G$2:$G$111))),ROW()-ROW($H$2:$H$111)+1),COLUMN($G$2:$G$111),4)))</f>
        <v/>
      </c>
      <c r="O74" s="121" t="str">
        <f t="array" aca="1" ref="O74" ca="1">IF(ROW()-ROW($I$2:$I$111)+1&gt;ROWS($H$2:$H$111)-COUNTBLANK($H$2:$H$111),"",INDIRECT(ADDRESS(SMALL((IF($H$2:$H$111&lt;&gt;"",ROW($H$2:$H$111),ROW()+ROWS($H$2:$H$111))),ROW()-ROW($I$2:$I$111)+1),COLUMN($H$2:$H$111),4)))</f>
        <v/>
      </c>
      <c r="P74" s="121" t="str">
        <f t="array" aca="1" ref="P74" ca="1">IF(ROW()-ROW($J$2:$J$111)+1&gt;ROWS($I$2:$I$111)-COUNTBLANK($I$2:$I$111),"",INDIRECT(ADDRESS(SMALL((IF($I$2:$I$111&lt;&gt;"",ROW($I$2:$I$111),ROW()+ROWS($I$2:$I$111))),ROW()-ROW($J$2:$J$111)+1),COLUMN($I$2:$I$111),4)))</f>
        <v/>
      </c>
    </row>
    <row r="75" spans="4:16" ht="15" customHeight="1" x14ac:dyDescent="0.25">
      <c r="D75" s="917" t="s">
        <v>87</v>
      </c>
      <c r="E75" s="194" t="str">
        <f>IF(H75="","","2014")</f>
        <v/>
      </c>
      <c r="F75" s="176" t="str">
        <f t="shared" ref="F75:F83" si="15">IF(H75="","","q")</f>
        <v/>
      </c>
      <c r="G75" s="176" t="str">
        <f t="shared" ref="G75:G83" si="16">IF(H75="","","1")</f>
        <v/>
      </c>
      <c r="H75" s="131" t="str">
        <f>IF(A3="relevant",IF(AND(Matrix!Z19="",Matrix!AA19="",Matrix!AB19="",Matrix!AC19="",Matrix!AD19=""),"",IF(Matrix!Z19&lt;MAX(Matrix!AA19:AD19),Berechnung2!$L$41,"")),"")</f>
        <v/>
      </c>
      <c r="I75" s="178" t="str">
        <f>IF(H75="","",VLOOKUP(F75,Berechnung2!$I$15:$J$25,2,FALSE))</f>
        <v/>
      </c>
      <c r="J75" s="179" t="str">
        <f t="shared" ref="J75:J83" si="17">IF(H75&lt;&gt;"",1,"")</f>
        <v/>
      </c>
      <c r="L75" s="55" t="str">
        <f t="array" aca="1" ref="L75" ca="1">IF(ROW()-ROW($F$2:$F$111)+1&gt;ROWS($E$2:$E$111)-COUNTBLANK($E$2:$E$111),"",INDIRECT(ADDRESS(SMALL((IF($E$2:$E$111&gt;"",ROW($E$2:$E$111),ROW()+ROWS($E$2:$E$111))),ROW()-ROW($F$2:$F$111)+1),COLUMN($E$2:$E$111),4)))</f>
        <v/>
      </c>
      <c r="M75" s="55" t="str">
        <f t="array" aca="1" ref="M75" ca="1">IF(ROW()-ROW($G$2:$G$111)+1&gt;ROWS($F$2:$F$111)-COUNTBLANK($F$2:$F$111),"",INDIRECT(ADDRESS(SMALL((IF($F$2:$F$111&lt;&gt;"",ROW($F$2:$F$111),ROW()+ROWS($F$2:$F$111))),ROW()-ROW($G$2:$G$111)+1),COLUMN($F$2:$F$111),4)))</f>
        <v/>
      </c>
      <c r="N75" s="55" t="str">
        <f t="array" aca="1" ref="N75" ca="1">IF(ROW()-ROW($H$2:$H$111)+1&gt;ROWS($G$2:$G$111)-COUNTBLANK($G$2:$G$111),"",INDIRECT(ADDRESS(SMALL((IF($G$2:$G$111&lt;&gt;"",ROW($G$2:$G$111),ROW()+ROWS($G$2:$G$111))),ROW()-ROW($H$2:$H$111)+1),COLUMN($G$2:$G$111),4)))</f>
        <v/>
      </c>
      <c r="O75" s="121" t="str">
        <f t="array" aca="1" ref="O75" ca="1">IF(ROW()-ROW($I$2:$I$111)+1&gt;ROWS($H$2:$H$111)-COUNTBLANK($H$2:$H$111),"",INDIRECT(ADDRESS(SMALL((IF($H$2:$H$111&lt;&gt;"",ROW($H$2:$H$111),ROW()+ROWS($H$2:$H$111))),ROW()-ROW($I$2:$I$111)+1),COLUMN($H$2:$H$111),4)))</f>
        <v/>
      </c>
      <c r="P75" s="121" t="str">
        <f t="array" aca="1" ref="P75" ca="1">IF(ROW()-ROW($J$2:$J$111)+1&gt;ROWS($I$2:$I$111)-COUNTBLANK($I$2:$I$111),"",INDIRECT(ADDRESS(SMALL((IF($I$2:$I$111&lt;&gt;"",ROW($I$2:$I$111),ROW()+ROWS($I$2:$I$111))),ROW()-ROW($J$2:$J$111)+1),COLUMN($I$2:$I$111),4)))</f>
        <v/>
      </c>
    </row>
    <row r="76" spans="4:16" ht="11.25" customHeight="1" x14ac:dyDescent="0.25">
      <c r="D76" s="917"/>
      <c r="E76" s="194" t="str">
        <f>IF(H76="","","2015")</f>
        <v/>
      </c>
      <c r="F76" s="176" t="str">
        <f t="shared" si="15"/>
        <v/>
      </c>
      <c r="G76" s="176" t="str">
        <f t="shared" si="16"/>
        <v/>
      </c>
      <c r="H76" s="131" t="str">
        <f>IF(A4="relevant",IF(AND(Matrix!Z20="",Matrix!AA20="",Matrix!AB20="",Matrix!AC20="",Matrix!AD20=""),"",IF(Matrix!Z20&lt;MAX(Matrix!AA20:AD20),Berechnung2!$L$41,"")),"")</f>
        <v/>
      </c>
      <c r="I76" s="178" t="str">
        <f>IF(H76="","",VLOOKUP(F76,Berechnung2!$I$15:$J$25,2,FALSE))</f>
        <v/>
      </c>
      <c r="J76" s="179" t="str">
        <f t="shared" si="17"/>
        <v/>
      </c>
      <c r="L76" s="55" t="str">
        <f t="array" aca="1" ref="L76" ca="1">IF(ROW()-ROW($F$2:$F$111)+1&gt;ROWS($E$2:$E$111)-COUNTBLANK($E$2:$E$111),"",INDIRECT(ADDRESS(SMALL((IF($E$2:$E$111&gt;"",ROW($E$2:$E$111),ROW()+ROWS($E$2:$E$111))),ROW()-ROW($F$2:$F$111)+1),COLUMN($E$2:$E$111),4)))</f>
        <v/>
      </c>
      <c r="M76" s="55" t="str">
        <f t="array" aca="1" ref="M76" ca="1">IF(ROW()-ROW($G$2:$G$111)+1&gt;ROWS($F$2:$F$111)-COUNTBLANK($F$2:$F$111),"",INDIRECT(ADDRESS(SMALL((IF($F$2:$F$111&lt;&gt;"",ROW($F$2:$F$111),ROW()+ROWS($F$2:$F$111))),ROW()-ROW($G$2:$G$111)+1),COLUMN($F$2:$F$111),4)))</f>
        <v/>
      </c>
      <c r="N76" s="55" t="str">
        <f t="array" aca="1" ref="N76" ca="1">IF(ROW()-ROW($H$2:$H$111)+1&gt;ROWS($G$2:$G$111)-COUNTBLANK($G$2:$G$111),"",INDIRECT(ADDRESS(SMALL((IF($G$2:$G$111&lt;&gt;"",ROW($G$2:$G$111),ROW()+ROWS($G$2:$G$111))),ROW()-ROW($H$2:$H$111)+1),COLUMN($G$2:$G$111),4)))</f>
        <v/>
      </c>
      <c r="O76" s="121" t="str">
        <f t="array" aca="1" ref="O76" ca="1">IF(ROW()-ROW($I$2:$I$111)+1&gt;ROWS($H$2:$H$111)-COUNTBLANK($H$2:$H$111),"",INDIRECT(ADDRESS(SMALL((IF($H$2:$H$111&lt;&gt;"",ROW($H$2:$H$111),ROW()+ROWS($H$2:$H$111))),ROW()-ROW($I$2:$I$111)+1),COLUMN($H$2:$H$111),4)))</f>
        <v/>
      </c>
      <c r="P76" s="121" t="str">
        <f t="array" aca="1" ref="P76" ca="1">IF(ROW()-ROW($J$2:$J$111)+1&gt;ROWS($I$2:$I$111)-COUNTBLANK($I$2:$I$111),"",INDIRECT(ADDRESS(SMALL((IF($I$2:$I$111&lt;&gt;"",ROW($I$2:$I$111),ROW()+ROWS($I$2:$I$111))),ROW()-ROW($J$2:$J$111)+1),COLUMN($I$2:$I$111),4)))</f>
        <v/>
      </c>
    </row>
    <row r="77" spans="4:16" ht="15" customHeight="1" x14ac:dyDescent="0.25">
      <c r="D77" s="917"/>
      <c r="E77" s="194" t="str">
        <f>IF(H77="","","2016")</f>
        <v/>
      </c>
      <c r="F77" s="176" t="str">
        <f t="shared" si="15"/>
        <v/>
      </c>
      <c r="G77" s="176" t="str">
        <f t="shared" si="16"/>
        <v/>
      </c>
      <c r="H77" s="131" t="str">
        <f>IF(A5="relevant",IF(AND(Matrix!Z21="",Matrix!AA21="",Matrix!AB21="",Matrix!AC21="",Matrix!AD21=""),"",IF(Matrix!Z21&lt;MAX(Matrix!AA21:AD21),Berechnung2!$L$41,"")),"")</f>
        <v/>
      </c>
      <c r="I77" s="178" t="str">
        <f>IF(H77="","",VLOOKUP(F77,Berechnung2!$I$15:$J$25,2,FALSE))</f>
        <v/>
      </c>
      <c r="J77" s="179" t="str">
        <f t="shared" si="17"/>
        <v/>
      </c>
      <c r="L77" s="55" t="str">
        <f t="array" aca="1" ref="L77" ca="1">IF(ROW()-ROW($F$2:$F$111)+1&gt;ROWS($E$2:$E$111)-COUNTBLANK($E$2:$E$111),"",INDIRECT(ADDRESS(SMALL((IF($E$2:$E$111&gt;"",ROW($E$2:$E$111),ROW()+ROWS($E$2:$E$111))),ROW()-ROW($F$2:$F$111)+1),COLUMN($E$2:$E$111),4)))</f>
        <v/>
      </c>
      <c r="M77" s="55" t="str">
        <f t="array" aca="1" ref="M77" ca="1">IF(ROW()-ROW($G$2:$G$111)+1&gt;ROWS($F$2:$F$111)-COUNTBLANK($F$2:$F$111),"",INDIRECT(ADDRESS(SMALL((IF($F$2:$F$111&lt;&gt;"",ROW($F$2:$F$111),ROW()+ROWS($F$2:$F$111))),ROW()-ROW($G$2:$G$111)+1),COLUMN($F$2:$F$111),4)))</f>
        <v/>
      </c>
      <c r="N77" s="55" t="str">
        <f t="array" aca="1" ref="N77" ca="1">IF(ROW()-ROW($H$2:$H$111)+1&gt;ROWS($G$2:$G$111)-COUNTBLANK($G$2:$G$111),"",INDIRECT(ADDRESS(SMALL((IF($G$2:$G$111&lt;&gt;"",ROW($G$2:$G$111),ROW()+ROWS($G$2:$G$111))),ROW()-ROW($H$2:$H$111)+1),COLUMN($G$2:$G$111),4)))</f>
        <v/>
      </c>
      <c r="O77" s="121" t="str">
        <f t="array" aca="1" ref="O77" ca="1">IF(ROW()-ROW($I$2:$I$111)+1&gt;ROWS($H$2:$H$111)-COUNTBLANK($H$2:$H$111),"",INDIRECT(ADDRESS(SMALL((IF($H$2:$H$111&lt;&gt;"",ROW($H$2:$H$111),ROW()+ROWS($H$2:$H$111))),ROW()-ROW($I$2:$I$111)+1),COLUMN($H$2:$H$111),4)))</f>
        <v/>
      </c>
      <c r="P77" s="121" t="str">
        <f t="array" aca="1" ref="P77" ca="1">IF(ROW()-ROW($J$2:$J$111)+1&gt;ROWS($I$2:$I$111)-COUNTBLANK($I$2:$I$111),"",INDIRECT(ADDRESS(SMALL((IF($I$2:$I$111&lt;&gt;"",ROW($I$2:$I$111),ROW()+ROWS($I$2:$I$111))),ROW()-ROW($J$2:$J$111)+1),COLUMN($I$2:$I$111),4)))</f>
        <v/>
      </c>
    </row>
    <row r="78" spans="4:16" ht="15" customHeight="1" x14ac:dyDescent="0.25">
      <c r="D78" s="917"/>
      <c r="E78" s="194" t="str">
        <f>IF(H78="","","2017")</f>
        <v/>
      </c>
      <c r="F78" s="176" t="str">
        <f t="shared" si="15"/>
        <v/>
      </c>
      <c r="G78" s="176" t="str">
        <f t="shared" si="16"/>
        <v/>
      </c>
      <c r="H78" s="131" t="str">
        <f>IF(A6="relevant",IF(AND(Matrix!Z22="",Matrix!AA22="",Matrix!AB22="",Matrix!AC22="",Matrix!AD22=""),"",IF(Matrix!Z22&lt;MAX(Matrix!AA22:AD22),Berechnung2!$L$41,"")),"")</f>
        <v/>
      </c>
      <c r="I78" s="178" t="str">
        <f>IF(H78="","",VLOOKUP(F78,Berechnung2!$I$15:$J$25,2,FALSE))</f>
        <v/>
      </c>
      <c r="J78" s="179" t="str">
        <f t="shared" si="17"/>
        <v/>
      </c>
      <c r="L78" s="55" t="str">
        <f t="array" aca="1" ref="L78" ca="1">IF(ROW()-ROW($F$2:$F$111)+1&gt;ROWS($E$2:$E$111)-COUNTBLANK($E$2:$E$111),"",INDIRECT(ADDRESS(SMALL((IF($E$2:$E$111&gt;"",ROW($E$2:$E$111),ROW()+ROWS($E$2:$E$111))),ROW()-ROW($F$2:$F$111)+1),COLUMN($E$2:$E$111),4)))</f>
        <v/>
      </c>
      <c r="M78" s="55" t="str">
        <f t="array" aca="1" ref="M78" ca="1">IF(ROW()-ROW($G$2:$G$111)+1&gt;ROWS($F$2:$F$111)-COUNTBLANK($F$2:$F$111),"",INDIRECT(ADDRESS(SMALL((IF($F$2:$F$111&lt;&gt;"",ROW($F$2:$F$111),ROW()+ROWS($F$2:$F$111))),ROW()-ROW($G$2:$G$111)+1),COLUMN($F$2:$F$111),4)))</f>
        <v/>
      </c>
      <c r="N78" s="55" t="str">
        <f t="array" aca="1" ref="N78" ca="1">IF(ROW()-ROW($H$2:$H$111)+1&gt;ROWS($G$2:$G$111)-COUNTBLANK($G$2:$G$111),"",INDIRECT(ADDRESS(SMALL((IF($G$2:$G$111&lt;&gt;"",ROW($G$2:$G$111),ROW()+ROWS($G$2:$G$111))),ROW()-ROW($H$2:$H$111)+1),COLUMN($G$2:$G$111),4)))</f>
        <v/>
      </c>
      <c r="O78" s="121" t="str">
        <f t="array" aca="1" ref="O78" ca="1">IF(ROW()-ROW($I$2:$I$111)+1&gt;ROWS($H$2:$H$111)-COUNTBLANK($H$2:$H$111),"",INDIRECT(ADDRESS(SMALL((IF($H$2:$H$111&lt;&gt;"",ROW($H$2:$H$111),ROW()+ROWS($H$2:$H$111))),ROW()-ROW($I$2:$I$111)+1),COLUMN($H$2:$H$111),4)))</f>
        <v/>
      </c>
      <c r="P78" s="121" t="str">
        <f t="array" aca="1" ref="P78" ca="1">IF(ROW()-ROW($J$2:$J$111)+1&gt;ROWS($I$2:$I$111)-COUNTBLANK($I$2:$I$111),"",INDIRECT(ADDRESS(SMALL((IF($I$2:$I$111&lt;&gt;"",ROW($I$2:$I$111),ROW()+ROWS($I$2:$I$111))),ROW()-ROW($J$2:$J$111)+1),COLUMN($I$2:$I$111),4)))</f>
        <v/>
      </c>
    </row>
    <row r="79" spans="4:16" ht="40.5" customHeight="1" x14ac:dyDescent="0.25">
      <c r="D79" s="917"/>
      <c r="E79" s="194" t="str">
        <f>IF(H79="","","2018")</f>
        <v/>
      </c>
      <c r="F79" s="176" t="str">
        <f t="shared" si="15"/>
        <v/>
      </c>
      <c r="G79" s="176" t="str">
        <f t="shared" si="16"/>
        <v/>
      </c>
      <c r="H79" s="131" t="str">
        <f>IF(A7="relevant",IF(AND(Matrix!Z23="",Matrix!AA23="",Matrix!AB23="",Matrix!AC23="",Matrix!AD23=""),"",IF(Matrix!Z23&lt;MAX(Matrix!AA23:AD23),Berechnung2!$L$41,"")),"")</f>
        <v/>
      </c>
      <c r="I79" s="178" t="str">
        <f>IF(H79="","",VLOOKUP(F79,Berechnung2!$I$15:$J$25,2,FALSE))</f>
        <v/>
      </c>
      <c r="J79" s="179" t="str">
        <f t="shared" si="17"/>
        <v/>
      </c>
      <c r="L79" s="55" t="str">
        <f t="array" aca="1" ref="L79" ca="1">IF(ROW()-ROW($F$2:$F$111)+1&gt;ROWS($E$2:$E$111)-COUNTBLANK($E$2:$E$111),"",INDIRECT(ADDRESS(SMALL((IF($E$2:$E$111&gt;"",ROW($E$2:$E$111),ROW()+ROWS($E$2:$E$111))),ROW()-ROW($F$2:$F$111)+1),COLUMN($E$2:$E$111),4)))</f>
        <v/>
      </c>
      <c r="M79" s="55" t="str">
        <f t="array" aca="1" ref="M79" ca="1">IF(ROW()-ROW($G$2:$G$111)+1&gt;ROWS($F$2:$F$111)-COUNTBLANK($F$2:$F$111),"",INDIRECT(ADDRESS(SMALL((IF($F$2:$F$111&lt;&gt;"",ROW($F$2:$F$111),ROW()+ROWS($F$2:$F$111))),ROW()-ROW($G$2:$G$111)+1),COLUMN($F$2:$F$111),4)))</f>
        <v/>
      </c>
      <c r="N79" s="55" t="str">
        <f t="array" aca="1" ref="N79" ca="1">IF(ROW()-ROW($H$2:$H$111)+1&gt;ROWS($G$2:$G$111)-COUNTBLANK($G$2:$G$111),"",INDIRECT(ADDRESS(SMALL((IF($G$2:$G$111&lt;&gt;"",ROW($G$2:$G$111),ROW()+ROWS($G$2:$G$111))),ROW()-ROW($H$2:$H$111)+1),COLUMN($G$2:$G$111),4)))</f>
        <v/>
      </c>
      <c r="O79" s="121" t="str">
        <f t="array" aca="1" ref="O79" ca="1">IF(ROW()-ROW($I$2:$I$111)+1&gt;ROWS($H$2:$H$111)-COUNTBLANK($H$2:$H$111),"",INDIRECT(ADDRESS(SMALL((IF($H$2:$H$111&lt;&gt;"",ROW($H$2:$H$111),ROW()+ROWS($H$2:$H$111))),ROW()-ROW($I$2:$I$111)+1),COLUMN($H$2:$H$111),4)))</f>
        <v/>
      </c>
      <c r="P79" s="121" t="str">
        <f t="array" aca="1" ref="P79" ca="1">IF(ROW()-ROW($J$2:$J$111)+1&gt;ROWS($I$2:$I$111)-COUNTBLANK($I$2:$I$111),"",INDIRECT(ADDRESS(SMALL((IF($I$2:$I$111&lt;&gt;"",ROW($I$2:$I$111),ROW()+ROWS($I$2:$I$111))),ROW()-ROW($J$2:$J$111)+1),COLUMN($I$2:$I$111),4)))</f>
        <v/>
      </c>
    </row>
    <row r="80" spans="4:16" ht="15" customHeight="1" x14ac:dyDescent="0.25">
      <c r="D80" s="917"/>
      <c r="E80" s="194" t="str">
        <f>IF(H80="","","2019")</f>
        <v/>
      </c>
      <c r="F80" s="176" t="str">
        <f t="shared" si="15"/>
        <v/>
      </c>
      <c r="G80" s="176" t="str">
        <f t="shared" si="16"/>
        <v/>
      </c>
      <c r="H80" s="131" t="str">
        <f>IF(A8="relevant",IF(AND(Matrix!Z24="",Matrix!AA24="",Matrix!AB24="",Matrix!AC24="",Matrix!AD24=""),"",IF(Matrix!Z24&lt;MAX(Matrix!AA24:AD24),Berechnung2!$L$41,"")),"")</f>
        <v/>
      </c>
      <c r="I80" s="178" t="str">
        <f>IF(H80="","",VLOOKUP(F80,Berechnung2!$I$15:$J$25,2,FALSE))</f>
        <v/>
      </c>
      <c r="J80" s="179" t="str">
        <f t="shared" si="17"/>
        <v/>
      </c>
      <c r="L80" s="55" t="str">
        <f t="array" aca="1" ref="L80" ca="1">IF(ROW()-ROW($F$2:$F$111)+1&gt;ROWS($E$2:$E$111)-COUNTBLANK($E$2:$E$111),"",INDIRECT(ADDRESS(SMALL((IF($E$2:$E$111&gt;"",ROW($E$2:$E$111),ROW()+ROWS($E$2:$E$111))),ROW()-ROW($F$2:$F$111)+1),COLUMN($E$2:$E$111),4)))</f>
        <v/>
      </c>
      <c r="M80" s="55" t="str">
        <f t="array" aca="1" ref="M80" ca="1">IF(ROW()-ROW($G$2:$G$111)+1&gt;ROWS($F$2:$F$111)-COUNTBLANK($F$2:$F$111),"",INDIRECT(ADDRESS(SMALL((IF($F$2:$F$111&lt;&gt;"",ROW($F$2:$F$111),ROW()+ROWS($F$2:$F$111))),ROW()-ROW($G$2:$G$111)+1),COLUMN($F$2:$F$111),4)))</f>
        <v/>
      </c>
      <c r="N80" s="55" t="str">
        <f t="array" aca="1" ref="N80" ca="1">IF(ROW()-ROW($H$2:$H$111)+1&gt;ROWS($G$2:$G$111)-COUNTBLANK($G$2:$G$111),"",INDIRECT(ADDRESS(SMALL((IF($G$2:$G$111&lt;&gt;"",ROW($G$2:$G$111),ROW()+ROWS($G$2:$G$111))),ROW()-ROW($H$2:$H$111)+1),COLUMN($G$2:$G$111),4)))</f>
        <v/>
      </c>
      <c r="O80" s="121" t="str">
        <f t="array" aca="1" ref="O80" ca="1">IF(ROW()-ROW($I$2:$I$111)+1&gt;ROWS($H$2:$H$111)-COUNTBLANK($H$2:$H$111),"",INDIRECT(ADDRESS(SMALL((IF($H$2:$H$111&lt;&gt;"",ROW($H$2:$H$111),ROW()+ROWS($H$2:$H$111))),ROW()-ROW($I$2:$I$111)+1),COLUMN($H$2:$H$111),4)))</f>
        <v/>
      </c>
      <c r="P80" s="121" t="str">
        <f t="array" aca="1" ref="P80" ca="1">IF(ROW()-ROW($J$2:$J$111)+1&gt;ROWS($I$2:$I$111)-COUNTBLANK($I$2:$I$111),"",INDIRECT(ADDRESS(SMALL((IF($I$2:$I$111&lt;&gt;"",ROW($I$2:$I$111),ROW()+ROWS($I$2:$I$111))),ROW()-ROW($J$2:$J$111)+1),COLUMN($I$2:$I$111),4)))</f>
        <v/>
      </c>
    </row>
    <row r="81" spans="4:16" ht="11.25" customHeight="1" x14ac:dyDescent="0.25">
      <c r="D81" s="917"/>
      <c r="E81" s="194" t="str">
        <f>IF(H81="","","2020")</f>
        <v/>
      </c>
      <c r="F81" s="176" t="str">
        <f t="shared" si="15"/>
        <v/>
      </c>
      <c r="G81" s="176" t="str">
        <f t="shared" si="16"/>
        <v/>
      </c>
      <c r="H81" s="131" t="str">
        <f>IF(A9="relevant",IF(AND(Matrix!Z25="",Matrix!AA25="",Matrix!AB25="",Matrix!AC25="",Matrix!AD25=""),"",IF(Matrix!Z25&lt;MAX(Matrix!AA25:AD25),Berechnung2!$L$41,"")),"")</f>
        <v/>
      </c>
      <c r="I81" s="178" t="str">
        <f>IF(H81="","",VLOOKUP(F81,Berechnung2!$I$15:$J$25,2,FALSE))</f>
        <v/>
      </c>
      <c r="J81" s="179" t="str">
        <f t="shared" si="17"/>
        <v/>
      </c>
      <c r="L81" s="55" t="str">
        <f t="array" aca="1" ref="L81" ca="1">IF(ROW()-ROW($F$2:$F$111)+1&gt;ROWS($E$2:$E$111)-COUNTBLANK($E$2:$E$111),"",INDIRECT(ADDRESS(SMALL((IF($E$2:$E$111&gt;"",ROW($E$2:$E$111),ROW()+ROWS($E$2:$E$111))),ROW()-ROW($F$2:$F$111)+1),COLUMN($E$2:$E$111),4)))</f>
        <v/>
      </c>
      <c r="M81" s="55" t="str">
        <f t="array" aca="1" ref="M81" ca="1">IF(ROW()-ROW($G$2:$G$111)+1&gt;ROWS($F$2:$F$111)-COUNTBLANK($F$2:$F$111),"",INDIRECT(ADDRESS(SMALL((IF($F$2:$F$111&lt;&gt;"",ROW($F$2:$F$111),ROW()+ROWS($F$2:$F$111))),ROW()-ROW($G$2:$G$111)+1),COLUMN($F$2:$F$111),4)))</f>
        <v/>
      </c>
      <c r="N81" s="55" t="str">
        <f t="array" aca="1" ref="N81" ca="1">IF(ROW()-ROW($H$2:$H$111)+1&gt;ROWS($G$2:$G$111)-COUNTBLANK($G$2:$G$111),"",INDIRECT(ADDRESS(SMALL((IF($G$2:$G$111&lt;&gt;"",ROW($G$2:$G$111),ROW()+ROWS($G$2:$G$111))),ROW()-ROW($H$2:$H$111)+1),COLUMN($G$2:$G$111),4)))</f>
        <v/>
      </c>
      <c r="O81" s="121" t="str">
        <f t="array" aca="1" ref="O81" ca="1">IF(ROW()-ROW($I$2:$I$111)+1&gt;ROWS($H$2:$H$111)-COUNTBLANK($H$2:$H$111),"",INDIRECT(ADDRESS(SMALL((IF($H$2:$H$111&lt;&gt;"",ROW($H$2:$H$111),ROW()+ROWS($H$2:$H$111))),ROW()-ROW($I$2:$I$111)+1),COLUMN($H$2:$H$111),4)))</f>
        <v/>
      </c>
      <c r="P81" s="121" t="str">
        <f t="array" aca="1" ref="P81" ca="1">IF(ROW()-ROW($J$2:$J$111)+1&gt;ROWS($I$2:$I$111)-COUNTBLANK($I$2:$I$111),"",INDIRECT(ADDRESS(SMALL((IF($I$2:$I$111&lt;&gt;"",ROW($I$2:$I$111),ROW()+ROWS($I$2:$I$111))),ROW()-ROW($J$2:$J$111)+1),COLUMN($I$2:$I$111),4)))</f>
        <v/>
      </c>
    </row>
    <row r="82" spans="4:16" x14ac:dyDescent="0.25">
      <c r="D82" s="917"/>
      <c r="E82" s="194" t="str">
        <f>IF(H82="","","2021")</f>
        <v/>
      </c>
      <c r="F82" s="176" t="str">
        <f t="shared" si="15"/>
        <v/>
      </c>
      <c r="G82" s="176" t="str">
        <f t="shared" si="16"/>
        <v/>
      </c>
      <c r="H82" s="131" t="str">
        <f>IF(A10="relevant",IF(AND(Matrix!Z26="",Matrix!AA26="",Matrix!AB26="",Matrix!AC26="",Matrix!AD26=""),"",IF(Matrix!Z26&lt;MAX(Matrix!AA26:AD26),Berechnung2!$L$41,"")),"")</f>
        <v/>
      </c>
      <c r="I82" s="178" t="str">
        <f>IF(H82="","",VLOOKUP(F82,Berechnung2!$I$15:$J$25,2,FALSE))</f>
        <v/>
      </c>
      <c r="J82" s="179" t="str">
        <f t="shared" si="17"/>
        <v/>
      </c>
      <c r="L82" s="55" t="str">
        <f t="array" aca="1" ref="L82" ca="1">IF(ROW()-ROW($F$2:$F$111)+1&gt;ROWS($E$2:$E$111)-COUNTBLANK($E$2:$E$111),"",INDIRECT(ADDRESS(SMALL((IF($E$2:$E$111&gt;"",ROW($E$2:$E$111),ROW()+ROWS($E$2:$E$111))),ROW()-ROW($F$2:$F$111)+1),COLUMN($E$2:$E$111),4)))</f>
        <v/>
      </c>
      <c r="M82" s="55" t="str">
        <f t="array" aca="1" ref="M82" ca="1">IF(ROW()-ROW($G$2:$G$111)+1&gt;ROWS($F$2:$F$111)-COUNTBLANK($F$2:$F$111),"",INDIRECT(ADDRESS(SMALL((IF($F$2:$F$111&lt;&gt;"",ROW($F$2:$F$111),ROW()+ROWS($F$2:$F$111))),ROW()-ROW($G$2:$G$111)+1),COLUMN($F$2:$F$111),4)))</f>
        <v/>
      </c>
      <c r="N82" s="55" t="str">
        <f t="array" aca="1" ref="N82" ca="1">IF(ROW()-ROW($H$2:$H$111)+1&gt;ROWS($G$2:$G$111)-COUNTBLANK($G$2:$G$111),"",INDIRECT(ADDRESS(SMALL((IF($G$2:$G$111&lt;&gt;"",ROW($G$2:$G$111),ROW()+ROWS($G$2:$G$111))),ROW()-ROW($H$2:$H$111)+1),COLUMN($G$2:$G$111),4)))</f>
        <v/>
      </c>
      <c r="O82" s="121" t="str">
        <f t="array" aca="1" ref="O82" ca="1">IF(ROW()-ROW($I$2:$I$111)+1&gt;ROWS($H$2:$H$111)-COUNTBLANK($H$2:$H$111),"",INDIRECT(ADDRESS(SMALL((IF($H$2:$H$111&lt;&gt;"",ROW($H$2:$H$111),ROW()+ROWS($H$2:$H$111))),ROW()-ROW($I$2:$I$111)+1),COLUMN($H$2:$H$111),4)))</f>
        <v/>
      </c>
      <c r="P82" s="121" t="str">
        <f t="array" aca="1" ref="P82" ca="1">IF(ROW()-ROW($J$2:$J$111)+1&gt;ROWS($I$2:$I$111)-COUNTBLANK($I$2:$I$111),"",INDIRECT(ADDRESS(SMALL((IF($I$2:$I$111&lt;&gt;"",ROW($I$2:$I$111),ROW()+ROWS($I$2:$I$111))),ROW()-ROW($J$2:$J$111)+1),COLUMN($I$2:$I$111),4)))</f>
        <v/>
      </c>
    </row>
    <row r="83" spans="4:16" x14ac:dyDescent="0.25">
      <c r="D83" s="917"/>
      <c r="E83" s="194" t="str">
        <f>IF(H83="","","2022")</f>
        <v/>
      </c>
      <c r="F83" s="176" t="str">
        <f t="shared" si="15"/>
        <v/>
      </c>
      <c r="G83" s="176" t="str">
        <f t="shared" si="16"/>
        <v/>
      </c>
      <c r="H83" s="131" t="str">
        <f>IF(A11="relevant",IF(AND(Matrix!Z27="",Matrix!AA27="",Matrix!AB27="",Matrix!AC27="",Matrix!AD27=""),"",IF(Matrix!Z27&lt;MAX(Matrix!AA27:AD27),Berechnung2!$L$41,"")),"")</f>
        <v/>
      </c>
      <c r="I83" s="178" t="str">
        <f>IF(H83="","",VLOOKUP(F83,Berechnung2!$I$15:$J$25,2,FALSE))</f>
        <v/>
      </c>
      <c r="J83" s="179" t="str">
        <f t="shared" si="17"/>
        <v/>
      </c>
      <c r="L83" s="55" t="str">
        <f t="array" aca="1" ref="L83" ca="1">IF(ROW()-ROW($F$2:$F$111)+1&gt;ROWS($E$2:$E$111)-COUNTBLANK($E$2:$E$111),"",INDIRECT(ADDRESS(SMALL((IF($E$2:$E$111&gt;"",ROW($E$2:$E$111),ROW()+ROWS($E$2:$E$111))),ROW()-ROW($F$2:$F$111)+1),COLUMN($E$2:$E$111),4)))</f>
        <v/>
      </c>
      <c r="M83" s="55" t="str">
        <f t="array" aca="1" ref="M83" ca="1">IF(ROW()-ROW($G$2:$G$111)+1&gt;ROWS($F$2:$F$111)-COUNTBLANK($F$2:$F$111),"",INDIRECT(ADDRESS(SMALL((IF($F$2:$F$111&lt;&gt;"",ROW($F$2:$F$111),ROW()+ROWS($F$2:$F$111))),ROW()-ROW($G$2:$G$111)+1),COLUMN($F$2:$F$111),4)))</f>
        <v/>
      </c>
      <c r="N83" s="55" t="str">
        <f t="array" aca="1" ref="N83" ca="1">IF(ROW()-ROW($H$2:$H$111)+1&gt;ROWS($G$2:$G$111)-COUNTBLANK($G$2:$G$111),"",INDIRECT(ADDRESS(SMALL((IF($G$2:$G$111&lt;&gt;"",ROW($G$2:$G$111),ROW()+ROWS($G$2:$G$111))),ROW()-ROW($H$2:$H$111)+1),COLUMN($G$2:$G$111),4)))</f>
        <v/>
      </c>
      <c r="O83" s="121" t="str">
        <f t="array" aca="1" ref="O83" ca="1">IF(ROW()-ROW($I$2:$I$111)+1&gt;ROWS($H$2:$H$111)-COUNTBLANK($H$2:$H$111),"",INDIRECT(ADDRESS(SMALL((IF($H$2:$H$111&lt;&gt;"",ROW($H$2:$H$111),ROW()+ROWS($H$2:$H$111))),ROW()-ROW($I$2:$I$111)+1),COLUMN($H$2:$H$111),4)))</f>
        <v/>
      </c>
      <c r="P83" s="121" t="str">
        <f t="array" aca="1" ref="P83" ca="1">IF(ROW()-ROW($J$2:$J$111)+1&gt;ROWS($I$2:$I$111)-COUNTBLANK($I$2:$I$111),"",INDIRECT(ADDRESS(SMALL((IF($I$2:$I$111&lt;&gt;"",ROW($I$2:$I$111),ROW()+ROWS($I$2:$I$111))),ROW()-ROW($J$2:$J$111)+1),COLUMN($I$2:$I$111),4)))</f>
        <v/>
      </c>
    </row>
    <row r="84" spans="4:16" x14ac:dyDescent="0.25">
      <c r="D84" s="181"/>
      <c r="E84" s="194" t="str">
        <f>IF(H84="","","2023")</f>
        <v/>
      </c>
      <c r="F84" s="424"/>
      <c r="G84" s="424"/>
      <c r="H84" s="416"/>
      <c r="I84" s="425"/>
      <c r="J84" s="426"/>
      <c r="L84" s="55" t="str">
        <f t="array" aca="1" ref="L84" ca="1">IF(ROW()-ROW($F$2:$F$111)+1&gt;ROWS($E$2:$E$111)-COUNTBLANK($E$2:$E$111),"",INDIRECT(ADDRESS(SMALL((IF($E$2:$E$111&gt;"",ROW($E$2:$E$111),ROW()+ROWS($E$2:$E$111))),ROW()-ROW($F$2:$F$111)+1),COLUMN($E$2:$E$111),4)))</f>
        <v/>
      </c>
      <c r="M84" s="55" t="str">
        <f t="array" aca="1" ref="M84" ca="1">IF(ROW()-ROW($G$2:$G$111)+1&gt;ROWS($F$2:$F$111)-COUNTBLANK($F$2:$F$111),"",INDIRECT(ADDRESS(SMALL((IF($F$2:$F$111&lt;&gt;"",ROW($F$2:$F$111),ROW()+ROWS($F$2:$F$111))),ROW()-ROW($G$2:$G$111)+1),COLUMN($F$2:$F$111),4)))</f>
        <v/>
      </c>
      <c r="N84" s="55" t="str">
        <f t="array" aca="1" ref="N84" ca="1">IF(ROW()-ROW($H$2:$H$111)+1&gt;ROWS($G$2:$G$111)-COUNTBLANK($G$2:$G$111),"",INDIRECT(ADDRESS(SMALL((IF($G$2:$G$111&lt;&gt;"",ROW($G$2:$G$111),ROW()+ROWS($G$2:$G$111))),ROW()-ROW($H$2:$H$111)+1),COLUMN($G$2:$G$111),4)))</f>
        <v/>
      </c>
      <c r="O84" s="121" t="str">
        <f t="array" aca="1" ref="O84" ca="1">IF(ROW()-ROW($I$2:$I$111)+1&gt;ROWS($H$2:$H$111)-COUNTBLANK($H$2:$H$111),"",INDIRECT(ADDRESS(SMALL((IF($H$2:$H$111&lt;&gt;"",ROW($H$2:$H$111),ROW()+ROWS($H$2:$H$111))),ROW()-ROW($I$2:$I$111)+1),COLUMN($H$2:$H$111),4)))</f>
        <v/>
      </c>
      <c r="P84" s="121" t="str">
        <f t="array" aca="1" ref="P84" ca="1">IF(ROW()-ROW($J$2:$J$111)+1&gt;ROWS($I$2:$I$111)-COUNTBLANK($I$2:$I$111),"",INDIRECT(ADDRESS(SMALL((IF($I$2:$I$111&lt;&gt;"",ROW($I$2:$I$111),ROW()+ROWS($I$2:$I$111))),ROW()-ROW($J$2:$J$111)+1),COLUMN($I$2:$I$111),4)))</f>
        <v/>
      </c>
    </row>
    <row r="85" spans="4:16" ht="18" customHeight="1" thickBot="1" x14ac:dyDescent="0.3">
      <c r="D85" s="182" t="s">
        <v>102</v>
      </c>
      <c r="E85" s="195" t="str">
        <f>IF(H85="","","2024")</f>
        <v/>
      </c>
      <c r="F85" s="427"/>
      <c r="G85" s="427"/>
      <c r="H85" s="428"/>
      <c r="I85" s="429"/>
      <c r="J85" s="430"/>
      <c r="L85" s="55" t="str">
        <f t="array" aca="1" ref="L85" ca="1">IF(ROW()-ROW($F$2:$F$111)+1&gt;ROWS($E$2:$E$111)-COUNTBLANK($E$2:$E$111),"",INDIRECT(ADDRESS(SMALL((IF($E$2:$E$111&gt;"",ROW($E$2:$E$111),ROW()+ROWS($E$2:$E$111))),ROW()-ROW($F$2:$F$111)+1),COLUMN($E$2:$E$111),4)))</f>
        <v/>
      </c>
      <c r="M85" s="55" t="str">
        <f t="array" aca="1" ref="M85" ca="1">IF(ROW()-ROW($G$2:$G$111)+1&gt;ROWS($F$2:$F$111)-COUNTBLANK($F$2:$F$111),"",INDIRECT(ADDRESS(SMALL((IF($F$2:$F$111&lt;&gt;"",ROW($F$2:$F$111),ROW()+ROWS($F$2:$F$111))),ROW()-ROW($G$2:$G$111)+1),COLUMN($F$2:$F$111),4)))</f>
        <v/>
      </c>
      <c r="N85" s="55" t="str">
        <f t="array" aca="1" ref="N85" ca="1">IF(ROW()-ROW($H$2:$H$111)+1&gt;ROWS($G$2:$G$111)-COUNTBLANK($G$2:$G$111),"",INDIRECT(ADDRESS(SMALL((IF($G$2:$G$111&lt;&gt;"",ROW($G$2:$G$111),ROW()+ROWS($G$2:$G$111))),ROW()-ROW($H$2:$H$111)+1),COLUMN($G$2:$G$111),4)))</f>
        <v/>
      </c>
      <c r="O85" s="121" t="str">
        <f t="array" aca="1" ref="O85" ca="1">IF(ROW()-ROW($I$2:$I$111)+1&gt;ROWS($H$2:$H$111)-COUNTBLANK($H$2:$H$111),"",INDIRECT(ADDRESS(SMALL((IF($H$2:$H$111&lt;&gt;"",ROW($H$2:$H$111),ROW()+ROWS($H$2:$H$111))),ROW()-ROW($I$2:$I$111)+1),COLUMN($H$2:$H$111),4)))</f>
        <v/>
      </c>
      <c r="P85" s="121" t="str">
        <f t="array" aca="1" ref="P85" ca="1">IF(ROW()-ROW($J$2:$J$111)+1&gt;ROWS($I$2:$I$111)-COUNTBLANK($I$2:$I$111),"",INDIRECT(ADDRESS(SMALL((IF($I$2:$I$111&lt;&gt;"",ROW($I$2:$I$111),ROW()+ROWS($I$2:$I$111))),ROW()-ROW($J$2:$J$111)+1),COLUMN($I$2:$I$111),4)))</f>
        <v/>
      </c>
    </row>
    <row r="86" spans="4:16" ht="34.5" thickBot="1" x14ac:dyDescent="0.3">
      <c r="D86" s="197" t="s">
        <v>37</v>
      </c>
      <c r="E86" s="149" t="str">
        <f>IF(H86="","","2020-2022")</f>
        <v/>
      </c>
      <c r="F86" s="149" t="str">
        <f>IF(H86="","","e")</f>
        <v/>
      </c>
      <c r="G86" s="149" t="str">
        <f>IF(H86="","","5")</f>
        <v/>
      </c>
      <c r="H86" s="139" t="str">
        <f>IF(OR(Matrix!$R$31="-----",Matrix!$R$31=""),"",IF(AND(ROUND(Matrix!R31,4)&gt;=Berechnung2!G42,ROUND(Matrix!R31,4)&lt;Berechnung2!J42),Berechnung2!L42,""))</f>
        <v/>
      </c>
      <c r="I86" s="140" t="str">
        <f>IF(H86="","",VLOOKUP(F86,Berechnung2!$I$15:$J$25,2,FALSE))</f>
        <v/>
      </c>
      <c r="J86" s="141" t="str">
        <f t="shared" ref="J86:J99" si="18">IF(H86&lt;&gt;"",1,"")</f>
        <v/>
      </c>
      <c r="L86" s="55" t="str">
        <f t="array" aca="1" ref="L86" ca="1">IF(ROW()-ROW($F$2:$F$111)+1&gt;ROWS($E$2:$E$111)-COUNTBLANK($E$2:$E$111),"",INDIRECT(ADDRESS(SMALL((IF($E$2:$E$111&gt;"",ROW($E$2:$E$111),ROW()+ROWS($E$2:$E$111))),ROW()-ROW($F$2:$F$111)+1),COLUMN($E$2:$E$111),4)))</f>
        <v/>
      </c>
      <c r="M86" s="55" t="str">
        <f t="array" aca="1" ref="M86" ca="1">IF(ROW()-ROW($G$2:$G$111)+1&gt;ROWS($F$2:$F$111)-COUNTBLANK($F$2:$F$111),"",INDIRECT(ADDRESS(SMALL((IF($F$2:$F$111&lt;&gt;"",ROW($F$2:$F$111),ROW()+ROWS($F$2:$F$111))),ROW()-ROW($G$2:$G$111)+1),COLUMN($F$2:$F$111),4)))</f>
        <v/>
      </c>
      <c r="N86" s="55" t="str">
        <f t="array" aca="1" ref="N86" ca="1">IF(ROW()-ROW($H$2:$H$111)+1&gt;ROWS($G$2:$G$111)-COUNTBLANK($G$2:$G$111),"",INDIRECT(ADDRESS(SMALL((IF($G$2:$G$111&lt;&gt;"",ROW($G$2:$G$111),ROW()+ROWS($G$2:$G$111))),ROW()-ROW($H$2:$H$111)+1),COLUMN($G$2:$G$111),4)))</f>
        <v/>
      </c>
      <c r="O86" s="121" t="str">
        <f t="array" aca="1" ref="O86" ca="1">IF(ROW()-ROW($I$2:$I$111)+1&gt;ROWS($H$2:$H$111)-COUNTBLANK($H$2:$H$111),"",INDIRECT(ADDRESS(SMALL((IF($H$2:$H$111&lt;&gt;"",ROW($H$2:$H$111),ROW()+ROWS($H$2:$H$111))),ROW()-ROW($I$2:$I$111)+1),COLUMN($H$2:$H$111),4)))</f>
        <v/>
      </c>
      <c r="P86" s="121" t="str">
        <f t="array" aca="1" ref="P86" ca="1">IF(ROW()-ROW($J$2:$J$111)+1&gt;ROWS($I$2:$I$111)-COUNTBLANK($I$2:$I$111),"",INDIRECT(ADDRESS(SMALL((IF($I$2:$I$111&lt;&gt;"",ROW($I$2:$I$111),ROW()+ROWS($I$2:$I$111))),ROW()-ROW($J$2:$J$111)+1),COLUMN($I$2:$I$111),4)))</f>
        <v/>
      </c>
    </row>
    <row r="87" spans="4:16" x14ac:dyDescent="0.25">
      <c r="D87" s="180" t="s">
        <v>440</v>
      </c>
      <c r="E87" s="196" t="str">
        <f>IF(H87="","","2013")</f>
        <v/>
      </c>
      <c r="F87" s="176" t="str">
        <f>IF(H87="","","f")</f>
        <v/>
      </c>
      <c r="G87" s="176" t="str">
        <f>IF(H87="","","6")</f>
        <v/>
      </c>
      <c r="H87" s="177" t="str">
        <f>IF(A2="relevant",IF(Matrix!C18="","",IF(Matrix!C18&lt;Berechnung2!$G$43,Berechnung2!$L$43,"")),"")</f>
        <v/>
      </c>
      <c r="I87" s="178" t="str">
        <f>IF(H87="","",VLOOKUP(F87,Berechnung2!$I$15:$J$25,2,FALSE))</f>
        <v/>
      </c>
      <c r="J87" s="179" t="str">
        <f t="shared" si="18"/>
        <v/>
      </c>
      <c r="L87" s="55" t="str">
        <f t="array" aca="1" ref="L87" ca="1">IF(ROW()-ROW($F$2:$F$111)+1&gt;ROWS($E$2:$E$111)-COUNTBLANK($E$2:$E$111),"",INDIRECT(ADDRESS(SMALL((IF($E$2:$E$111&gt;"",ROW($E$2:$E$111),ROW()+ROWS($E$2:$E$111))),ROW()-ROW($F$2:$F$111)+1),COLUMN($E$2:$E$111),4)))</f>
        <v/>
      </c>
      <c r="M87" s="55" t="str">
        <f t="array" aca="1" ref="M87" ca="1">IF(ROW()-ROW($G$2:$G$111)+1&gt;ROWS($F$2:$F$111)-COUNTBLANK($F$2:$F$111),"",INDIRECT(ADDRESS(SMALL((IF($F$2:$F$111&lt;&gt;"",ROW($F$2:$F$111),ROW()+ROWS($F$2:$F$111))),ROW()-ROW($G$2:$G$111)+1),COLUMN($F$2:$F$111),4)))</f>
        <v/>
      </c>
      <c r="N87" s="55" t="str">
        <f t="array" aca="1" ref="N87" ca="1">IF(ROW()-ROW($H$2:$H$111)+1&gt;ROWS($G$2:$G$111)-COUNTBLANK($G$2:$G$111),"",INDIRECT(ADDRESS(SMALL((IF($G$2:$G$111&lt;&gt;"",ROW($G$2:$G$111),ROW()+ROWS($G$2:$G$111))),ROW()-ROW($H$2:$H$111)+1),COLUMN($G$2:$G$111),4)))</f>
        <v/>
      </c>
      <c r="O87" s="121" t="str">
        <f t="array" aca="1" ref="O87" ca="1">IF(ROW()-ROW($I$2:$I$111)+1&gt;ROWS($H$2:$H$111)-COUNTBLANK($H$2:$H$111),"",INDIRECT(ADDRESS(SMALL((IF($H$2:$H$111&lt;&gt;"",ROW($H$2:$H$111),ROW()+ROWS($H$2:$H$111))),ROW()-ROW($I$2:$I$111)+1),COLUMN($H$2:$H$111),4)))</f>
        <v/>
      </c>
      <c r="P87" s="121" t="str">
        <f t="array" aca="1" ref="P87" ca="1">IF(ROW()-ROW($J$2:$J$111)+1&gt;ROWS($I$2:$I$111)-COUNTBLANK($I$2:$I$111),"",INDIRECT(ADDRESS(SMALL((IF($I$2:$I$111&lt;&gt;"",ROW($I$2:$I$111),ROW()+ROWS($I$2:$I$111))),ROW()-ROW($J$2:$J$111)+1),COLUMN($I$2:$I$111),4)))</f>
        <v/>
      </c>
    </row>
    <row r="88" spans="4:16" x14ac:dyDescent="0.25">
      <c r="D88" s="916" t="s">
        <v>500</v>
      </c>
      <c r="E88" s="194" t="str">
        <f>IF(H88="","","2014")</f>
        <v/>
      </c>
      <c r="F88" s="146" t="str">
        <f>IF(H88="","","f")</f>
        <v/>
      </c>
      <c r="G88" s="146" t="str">
        <f>IF(H88="","","6")</f>
        <v/>
      </c>
      <c r="H88" s="177" t="str">
        <f>IF(A3="relevant",IF(Matrix!C19="","",IF(Matrix!C19&lt;Berechnung2!$G$43,Berechnung2!$L$43,"")),"")</f>
        <v/>
      </c>
      <c r="I88" s="121" t="str">
        <f>IF(H88="","",VLOOKUP(F88,Berechnung2!$I$15:$J$25,2,FALSE))</f>
        <v/>
      </c>
      <c r="J88" s="132" t="str">
        <f t="shared" si="18"/>
        <v/>
      </c>
      <c r="L88" s="55" t="str">
        <f t="array" aca="1" ref="L88" ca="1">IF(ROW()-ROW($F$2:$F$111)+1&gt;ROWS($E$2:$E$111)-COUNTBLANK($E$2:$E$111),"",INDIRECT(ADDRESS(SMALL((IF($E$2:$E$111&gt;"",ROW($E$2:$E$111),ROW()+ROWS($E$2:$E$111))),ROW()-ROW($F$2:$F$111)+1),COLUMN($E$2:$E$111),4)))</f>
        <v/>
      </c>
      <c r="M88" s="55" t="str">
        <f t="array" aca="1" ref="M88" ca="1">IF(ROW()-ROW($G$2:$G$111)+1&gt;ROWS($F$2:$F$111)-COUNTBLANK($F$2:$F$111),"",INDIRECT(ADDRESS(SMALL((IF($F$2:$F$111&lt;&gt;"",ROW($F$2:$F$111),ROW()+ROWS($F$2:$F$111))),ROW()-ROW($G$2:$G$111)+1),COLUMN($F$2:$F$111),4)))</f>
        <v/>
      </c>
      <c r="N88" s="55" t="str">
        <f t="array" aca="1" ref="N88" ca="1">IF(ROW()-ROW($H$2:$H$111)+1&gt;ROWS($G$2:$G$111)-COUNTBLANK($G$2:$G$111),"",INDIRECT(ADDRESS(SMALL((IF($G$2:$G$111&lt;&gt;"",ROW($G$2:$G$111),ROW()+ROWS($G$2:$G$111))),ROW()-ROW($H$2:$H$111)+1),COLUMN($G$2:$G$111),4)))</f>
        <v/>
      </c>
      <c r="O88" s="121" t="str">
        <f t="array" aca="1" ref="O88" ca="1">IF(ROW()-ROW($I$2:$I$111)+1&gt;ROWS($H$2:$H$111)-COUNTBLANK($H$2:$H$111),"",INDIRECT(ADDRESS(SMALL((IF($H$2:$H$111&lt;&gt;"",ROW($H$2:$H$111),ROW()+ROWS($H$2:$H$111))),ROW()-ROW($I$2:$I$111)+1),COLUMN($H$2:$H$111),4)))</f>
        <v/>
      </c>
      <c r="P88" s="121" t="str">
        <f t="array" aca="1" ref="P88" ca="1">IF(ROW()-ROW($J$2:$J$111)+1&gt;ROWS($I$2:$I$111)-COUNTBLANK($I$2:$I$111),"",INDIRECT(ADDRESS(SMALL((IF($I$2:$I$111&lt;&gt;"",ROW($I$2:$I$111),ROW()+ROWS($I$2:$I$111))),ROW()-ROW($J$2:$J$111)+1),COLUMN($I$2:$I$111),4)))</f>
        <v/>
      </c>
    </row>
    <row r="89" spans="4:16" x14ac:dyDescent="0.25">
      <c r="D89" s="916"/>
      <c r="E89" s="194" t="str">
        <f>IF(H89="","","2015")</f>
        <v/>
      </c>
      <c r="F89" s="146" t="str">
        <f>IF(H89="","","f")</f>
        <v/>
      </c>
      <c r="G89" s="146" t="str">
        <f>IF(H89="","","6")</f>
        <v/>
      </c>
      <c r="H89" s="177" t="str">
        <f>IF(A4="relevant",IF(Matrix!C20="","",IF(Matrix!C20&lt;Berechnung2!$G$43,Berechnung2!$L$43,"")),"")</f>
        <v/>
      </c>
      <c r="I89" s="121" t="str">
        <f>IF(H89="","",VLOOKUP(F89,Berechnung2!$I$15:$J$25,2,FALSE))</f>
        <v/>
      </c>
      <c r="J89" s="132" t="str">
        <f t="shared" si="18"/>
        <v/>
      </c>
      <c r="L89" s="55" t="str">
        <f t="array" aca="1" ref="L89" ca="1">IF(ROW()-ROW($F$2:$F$111)+1&gt;ROWS($E$2:$E$111)-COUNTBLANK($E$2:$E$111),"",INDIRECT(ADDRESS(SMALL((IF($E$2:$E$111&gt;"",ROW($E$2:$E$111),ROW()+ROWS($E$2:$E$111))),ROW()-ROW($F$2:$F$111)+1),COLUMN($E$2:$E$111),4)))</f>
        <v/>
      </c>
      <c r="M89" s="55" t="str">
        <f t="array" aca="1" ref="M89" ca="1">IF(ROW()-ROW($G$2:$G$111)+1&gt;ROWS($F$2:$F$111)-COUNTBLANK($F$2:$F$111),"",INDIRECT(ADDRESS(SMALL((IF($F$2:$F$111&lt;&gt;"",ROW($F$2:$F$111),ROW()+ROWS($F$2:$F$111))),ROW()-ROW($G$2:$G$111)+1),COLUMN($F$2:$F$111),4)))</f>
        <v/>
      </c>
      <c r="N89" s="55" t="str">
        <f t="array" aca="1" ref="N89" ca="1">IF(ROW()-ROW($H$2:$H$111)+1&gt;ROWS($G$2:$G$111)-COUNTBLANK($G$2:$G$111),"",INDIRECT(ADDRESS(SMALL((IF($G$2:$G$111&lt;&gt;"",ROW($G$2:$G$111),ROW()+ROWS($G$2:$G$111))),ROW()-ROW($H$2:$H$111)+1),COLUMN($G$2:$G$111),4)))</f>
        <v/>
      </c>
      <c r="O89" s="121" t="str">
        <f t="array" aca="1" ref="O89" ca="1">IF(ROW()-ROW($I$2:$I$111)+1&gt;ROWS($H$2:$H$111)-COUNTBLANK($H$2:$H$111),"",INDIRECT(ADDRESS(SMALL((IF($H$2:$H$111&lt;&gt;"",ROW($H$2:$H$111),ROW()+ROWS($H$2:$H$111))),ROW()-ROW($I$2:$I$111)+1),COLUMN($H$2:$H$111),4)))</f>
        <v/>
      </c>
      <c r="P89" s="121" t="str">
        <f t="array" aca="1" ref="P89" ca="1">IF(ROW()-ROW($J$2:$J$111)+1&gt;ROWS($I$2:$I$111)-COUNTBLANK($I$2:$I$111),"",INDIRECT(ADDRESS(SMALL((IF($I$2:$I$111&lt;&gt;"",ROW($I$2:$I$111),ROW()+ROWS($I$2:$I$111))),ROW()-ROW($J$2:$J$111)+1),COLUMN($I$2:$I$111),4)))</f>
        <v/>
      </c>
    </row>
    <row r="90" spans="4:16" x14ac:dyDescent="0.25">
      <c r="D90" s="916"/>
      <c r="E90" s="194" t="str">
        <f>IF(H90="","","2016")</f>
        <v/>
      </c>
      <c r="F90" s="146" t="str">
        <f>IF(H90="","","f")</f>
        <v/>
      </c>
      <c r="G90" s="146" t="str">
        <f>IF(H90="","","6")</f>
        <v/>
      </c>
      <c r="H90" s="177" t="str">
        <f>IF(A5="relevant",IF(Matrix!C21="","",IF(Matrix!C21&lt;Berechnung2!$G$43,Berechnung2!$L$43,"")),"")</f>
        <v/>
      </c>
      <c r="I90" s="121" t="str">
        <f>IF(H90="","",VLOOKUP(F90,Berechnung2!$I$15:$J$25,2,FALSE))</f>
        <v/>
      </c>
      <c r="J90" s="132" t="str">
        <f t="shared" si="18"/>
        <v/>
      </c>
      <c r="L90" s="55" t="str">
        <f t="array" aca="1" ref="L90" ca="1">IF(ROW()-ROW($F$2:$F$111)+1&gt;ROWS($E$2:$E$111)-COUNTBLANK($E$2:$E$111),"",INDIRECT(ADDRESS(SMALL((IF($E$2:$E$111&gt;"",ROW($E$2:$E$111),ROW()+ROWS($E$2:$E$111))),ROW()-ROW($F$2:$F$111)+1),COLUMN($E$2:$E$111),4)))</f>
        <v/>
      </c>
      <c r="M90" s="55" t="str">
        <f t="array" aca="1" ref="M90" ca="1">IF(ROW()-ROW($G$2:$G$111)+1&gt;ROWS($F$2:$F$111)-COUNTBLANK($F$2:$F$111),"",INDIRECT(ADDRESS(SMALL((IF($F$2:$F$111&lt;&gt;"",ROW($F$2:$F$111),ROW()+ROWS($F$2:$F$111))),ROW()-ROW($G$2:$G$111)+1),COLUMN($F$2:$F$111),4)))</f>
        <v/>
      </c>
      <c r="N90" s="55" t="str">
        <f t="array" aca="1" ref="N90" ca="1">IF(ROW()-ROW($H$2:$H$111)+1&gt;ROWS($G$2:$G$111)-COUNTBLANK($G$2:$G$111),"",INDIRECT(ADDRESS(SMALL((IF($G$2:$G$111&lt;&gt;"",ROW($G$2:$G$111),ROW()+ROWS($G$2:$G$111))),ROW()-ROW($H$2:$H$111)+1),COLUMN($G$2:$G$111),4)))</f>
        <v/>
      </c>
      <c r="O90" s="121" t="str">
        <f t="array" aca="1" ref="O90" ca="1">IF(ROW()-ROW($I$2:$I$111)+1&gt;ROWS($H$2:$H$111)-COUNTBLANK($H$2:$H$111),"",INDIRECT(ADDRESS(SMALL((IF($H$2:$H$111&lt;&gt;"",ROW($H$2:$H$111),ROW()+ROWS($H$2:$H$111))),ROW()-ROW($I$2:$I$111)+1),COLUMN($H$2:$H$111),4)))</f>
        <v/>
      </c>
      <c r="P90" s="121" t="str">
        <f t="array" aca="1" ref="P90" ca="1">IF(ROW()-ROW($J$2:$J$111)+1&gt;ROWS($I$2:$I$111)-COUNTBLANK($I$2:$I$111),"",INDIRECT(ADDRESS(SMALL((IF($I$2:$I$111&lt;&gt;"",ROW($I$2:$I$111),ROW()+ROWS($I$2:$I$111))),ROW()-ROW($J$2:$J$111)+1),COLUMN($I$2:$I$111),4)))</f>
        <v/>
      </c>
    </row>
    <row r="91" spans="4:16" x14ac:dyDescent="0.25">
      <c r="D91" s="916"/>
      <c r="E91" s="194" t="str">
        <f>IF(H91="","","2017")</f>
        <v/>
      </c>
      <c r="F91" s="146" t="str">
        <f t="shared" ref="F91:F98" si="19">IF(H91="","","f")</f>
        <v/>
      </c>
      <c r="G91" s="146" t="str">
        <f t="shared" ref="G91:G109" si="20">IF(H91="","","6")</f>
        <v/>
      </c>
      <c r="H91" s="177" t="str">
        <f>IF(A6="relevant",IF(Matrix!C22="","",IF(Matrix!C22&lt;Berechnung2!$G$43,Berechnung2!$L$43,"")),"")</f>
        <v/>
      </c>
      <c r="I91" s="121" t="str">
        <f>IF(H91="","",VLOOKUP(F91,Berechnung2!$I$15:$J$25,2,FALSE))</f>
        <v/>
      </c>
      <c r="J91" s="132" t="str">
        <f t="shared" si="18"/>
        <v/>
      </c>
      <c r="L91" s="55" t="str">
        <f t="array" aca="1" ref="L91" ca="1">IF(ROW()-ROW($F$2:$F$111)+1&gt;ROWS($E$2:$E$111)-COUNTBLANK($E$2:$E$111),"",INDIRECT(ADDRESS(SMALL((IF($E$2:$E$111&gt;"",ROW($E$2:$E$111),ROW()+ROWS($E$2:$E$111))),ROW()-ROW($F$2:$F$111)+1),COLUMN($E$2:$E$111),4)))</f>
        <v/>
      </c>
      <c r="M91" s="55" t="str">
        <f t="array" aca="1" ref="M91" ca="1">IF(ROW()-ROW($G$2:$G$111)+1&gt;ROWS($F$2:$F$111)-COUNTBLANK($F$2:$F$111),"",INDIRECT(ADDRESS(SMALL((IF($F$2:$F$111&lt;&gt;"",ROW($F$2:$F$111),ROW()+ROWS($F$2:$F$111))),ROW()-ROW($G$2:$G$111)+1),COLUMN($F$2:$F$111),4)))</f>
        <v/>
      </c>
      <c r="N91" s="55" t="str">
        <f t="array" aca="1" ref="N91" ca="1">IF(ROW()-ROW($H$2:$H$111)+1&gt;ROWS($G$2:$G$111)-COUNTBLANK($G$2:$G$111),"",INDIRECT(ADDRESS(SMALL((IF($G$2:$G$111&lt;&gt;"",ROW($G$2:$G$111),ROW()+ROWS($G$2:$G$111))),ROW()-ROW($H$2:$H$111)+1),COLUMN($G$2:$G$111),4)))</f>
        <v/>
      </c>
      <c r="O91" s="121" t="str">
        <f t="array" aca="1" ref="O91" ca="1">IF(ROW()-ROW($I$2:$I$111)+1&gt;ROWS($H$2:$H$111)-COUNTBLANK($H$2:$H$111),"",INDIRECT(ADDRESS(SMALL((IF($H$2:$H$111&lt;&gt;"",ROW($H$2:$H$111),ROW()+ROWS($H$2:$H$111))),ROW()-ROW($I$2:$I$111)+1),COLUMN($H$2:$H$111),4)))</f>
        <v/>
      </c>
      <c r="P91" s="121" t="str">
        <f t="array" aca="1" ref="P91" ca="1">IF(ROW()-ROW($J$2:$J$111)+1&gt;ROWS($I$2:$I$111)-COUNTBLANK($I$2:$I$111),"",INDIRECT(ADDRESS(SMALL((IF($I$2:$I$111&lt;&gt;"",ROW($I$2:$I$111),ROW()+ROWS($I$2:$I$111))),ROW()-ROW($J$2:$J$111)+1),COLUMN($I$2:$I$111),4)))</f>
        <v/>
      </c>
    </row>
    <row r="92" spans="4:16" x14ac:dyDescent="0.25">
      <c r="D92" s="916"/>
      <c r="E92" s="194" t="str">
        <f>IF(H92="","","2018")</f>
        <v/>
      </c>
      <c r="F92" s="146" t="str">
        <f t="shared" si="19"/>
        <v/>
      </c>
      <c r="G92" s="146" t="str">
        <f t="shared" si="20"/>
        <v/>
      </c>
      <c r="H92" s="177" t="str">
        <f>IF(A7="relevant",IF(Matrix!C23="","",IF(Matrix!C23&lt;Berechnung2!$G$43,Berechnung2!$L$43,"")),"")</f>
        <v/>
      </c>
      <c r="I92" s="121" t="str">
        <f>IF(H92="","",VLOOKUP(F92,Berechnung2!$I$15:$J$25,2,FALSE))</f>
        <v/>
      </c>
      <c r="J92" s="132" t="str">
        <f t="shared" si="18"/>
        <v/>
      </c>
      <c r="L92" s="55" t="str">
        <f t="array" aca="1" ref="L92" ca="1">IF(ROW()-ROW($F$2:$F$111)+1&gt;ROWS($E$2:$E$111)-COUNTBLANK($E$2:$E$111),"",INDIRECT(ADDRESS(SMALL((IF($E$2:$E$111&gt;"",ROW($E$2:$E$111),ROW()+ROWS($E$2:$E$111))),ROW()-ROW($F$2:$F$111)+1),COLUMN($E$2:$E$111),4)))</f>
        <v/>
      </c>
      <c r="M92" s="55" t="str">
        <f t="array" aca="1" ref="M92" ca="1">IF(ROW()-ROW($G$2:$G$111)+1&gt;ROWS($F$2:$F$111)-COUNTBLANK($F$2:$F$111),"",INDIRECT(ADDRESS(SMALL((IF($F$2:$F$111&lt;&gt;"",ROW($F$2:$F$111),ROW()+ROWS($F$2:$F$111))),ROW()-ROW($G$2:$G$111)+1),COLUMN($F$2:$F$111),4)))</f>
        <v/>
      </c>
      <c r="N92" s="55" t="str">
        <f t="array" aca="1" ref="N92" ca="1">IF(ROW()-ROW($H$2:$H$111)+1&gt;ROWS($G$2:$G$111)-COUNTBLANK($G$2:$G$111),"",INDIRECT(ADDRESS(SMALL((IF($G$2:$G$111&lt;&gt;"",ROW($G$2:$G$111),ROW()+ROWS($G$2:$G$111))),ROW()-ROW($H$2:$H$111)+1),COLUMN($G$2:$G$111),4)))</f>
        <v/>
      </c>
      <c r="O92" s="121" t="str">
        <f t="array" aca="1" ref="O92" ca="1">IF(ROW()-ROW($I$2:$I$111)+1&gt;ROWS($H$2:$H$111)-COUNTBLANK($H$2:$H$111),"",INDIRECT(ADDRESS(SMALL((IF($H$2:$H$111&lt;&gt;"",ROW($H$2:$H$111),ROW()+ROWS($H$2:$H$111))),ROW()-ROW($I$2:$I$111)+1),COLUMN($H$2:$H$111),4)))</f>
        <v/>
      </c>
      <c r="P92" s="121" t="str">
        <f t="array" aca="1" ref="P92" ca="1">IF(ROW()-ROW($J$2:$J$111)+1&gt;ROWS($I$2:$I$111)-COUNTBLANK($I$2:$I$111),"",INDIRECT(ADDRESS(SMALL((IF($I$2:$I$111&lt;&gt;"",ROW($I$2:$I$111),ROW()+ROWS($I$2:$I$111))),ROW()-ROW($J$2:$J$111)+1),COLUMN($I$2:$I$111),4)))</f>
        <v/>
      </c>
    </row>
    <row r="93" spans="4:16" x14ac:dyDescent="0.25">
      <c r="D93" s="916"/>
      <c r="E93" s="194" t="str">
        <f>IF(H93="","","2019")</f>
        <v/>
      </c>
      <c r="F93" s="146" t="str">
        <f t="shared" si="19"/>
        <v/>
      </c>
      <c r="G93" s="146" t="str">
        <f t="shared" si="20"/>
        <v/>
      </c>
      <c r="H93" s="177" t="str">
        <f>IF(A8="relevant",IF(Matrix!C24="","",IF(Matrix!C24&lt;Berechnung2!$G$43,Berechnung2!$L$43,"")),"")</f>
        <v/>
      </c>
      <c r="I93" s="121" t="str">
        <f>IF(H93="","",VLOOKUP(F93,Berechnung2!$I$15:$J$25,2,FALSE))</f>
        <v/>
      </c>
      <c r="J93" s="132" t="str">
        <f t="shared" si="18"/>
        <v/>
      </c>
      <c r="L93" s="55" t="str">
        <f t="array" aca="1" ref="L93" ca="1">IF(ROW()-ROW($F$2:$F$111)+1&gt;ROWS($E$2:$E$111)-COUNTBLANK($E$2:$E$111),"",INDIRECT(ADDRESS(SMALL((IF($E$2:$E$111&gt;"",ROW($E$2:$E$111),ROW()+ROWS($E$2:$E$111))),ROW()-ROW($F$2:$F$111)+1),COLUMN($E$2:$E$111),4)))</f>
        <v/>
      </c>
      <c r="M93" s="55" t="str">
        <f t="array" aca="1" ref="M93" ca="1">IF(ROW()-ROW($G$2:$G$111)+1&gt;ROWS($F$2:$F$111)-COUNTBLANK($F$2:$F$111),"",INDIRECT(ADDRESS(SMALL((IF($F$2:$F$111&lt;&gt;"",ROW($F$2:$F$111),ROW()+ROWS($F$2:$F$111))),ROW()-ROW($G$2:$G$111)+1),COLUMN($F$2:$F$111),4)))</f>
        <v/>
      </c>
      <c r="N93" s="55" t="str">
        <f t="array" aca="1" ref="N93" ca="1">IF(ROW()-ROW($H$2:$H$111)+1&gt;ROWS($G$2:$G$111)-COUNTBLANK($G$2:$G$111),"",INDIRECT(ADDRESS(SMALL((IF($G$2:$G$111&lt;&gt;"",ROW($G$2:$G$111),ROW()+ROWS($G$2:$G$111))),ROW()-ROW($H$2:$H$111)+1),COLUMN($G$2:$G$111),4)))</f>
        <v/>
      </c>
      <c r="O93" s="121" t="str">
        <f t="array" aca="1" ref="O93" ca="1">IF(ROW()-ROW($I$2:$I$111)+1&gt;ROWS($H$2:$H$111)-COUNTBLANK($H$2:$H$111),"",INDIRECT(ADDRESS(SMALL((IF($H$2:$H$111&lt;&gt;"",ROW($H$2:$H$111),ROW()+ROWS($H$2:$H$111))),ROW()-ROW($I$2:$I$111)+1),COLUMN($H$2:$H$111),4)))</f>
        <v/>
      </c>
      <c r="P93" s="121" t="str">
        <f t="array" aca="1" ref="P93" ca="1">IF(ROW()-ROW($J$2:$J$111)+1&gt;ROWS($I$2:$I$111)-COUNTBLANK($I$2:$I$111),"",INDIRECT(ADDRESS(SMALL((IF($I$2:$I$111&lt;&gt;"",ROW($I$2:$I$111),ROW()+ROWS($I$2:$I$111))),ROW()-ROW($J$2:$J$111)+1),COLUMN($I$2:$I$111),4)))</f>
        <v/>
      </c>
    </row>
    <row r="94" spans="4:16" x14ac:dyDescent="0.25">
      <c r="D94" s="916"/>
      <c r="E94" s="194" t="str">
        <f>IF(H94="","","2020")</f>
        <v/>
      </c>
      <c r="F94" s="146" t="str">
        <f t="shared" si="19"/>
        <v/>
      </c>
      <c r="G94" s="146" t="str">
        <f t="shared" si="20"/>
        <v/>
      </c>
      <c r="H94" s="177" t="str">
        <f>IF(A9="relevant",IF(Matrix!C25="","",IF(Matrix!C25&lt;Berechnung2!$G$43,Berechnung2!$L$43,"")),"")</f>
        <v/>
      </c>
      <c r="I94" s="121" t="str">
        <f>IF(H94="","",VLOOKUP(F94,Berechnung2!$I$15:$J$25,2,FALSE))</f>
        <v/>
      </c>
      <c r="J94" s="132" t="str">
        <f t="shared" si="18"/>
        <v/>
      </c>
      <c r="L94" s="55" t="str">
        <f t="array" aca="1" ref="L94" ca="1">IF(ROW()-ROW($F$2:$F$111)+1&gt;ROWS($E$2:$E$111)-COUNTBLANK($E$2:$E$111),"",INDIRECT(ADDRESS(SMALL((IF($E$2:$E$111&gt;"",ROW($E$2:$E$111),ROW()+ROWS($E$2:$E$111))),ROW()-ROW($F$2:$F$111)+1),COLUMN($E$2:$E$111),4)))</f>
        <v/>
      </c>
      <c r="M94" s="55" t="str">
        <f t="array" aca="1" ref="M94" ca="1">IF(ROW()-ROW($G$2:$G$111)+1&gt;ROWS($F$2:$F$111)-COUNTBLANK($F$2:$F$111),"",INDIRECT(ADDRESS(SMALL((IF($F$2:$F$111&lt;&gt;"",ROW($F$2:$F$111),ROW()+ROWS($F$2:$F$111))),ROW()-ROW($G$2:$G$111)+1),COLUMN($F$2:$F$111),4)))</f>
        <v/>
      </c>
      <c r="N94" s="55" t="str">
        <f t="array" aca="1" ref="N94" ca="1">IF(ROW()-ROW($H$2:$H$111)+1&gt;ROWS($G$2:$G$111)-COUNTBLANK($G$2:$G$111),"",INDIRECT(ADDRESS(SMALL((IF($G$2:$G$111&lt;&gt;"",ROW($G$2:$G$111),ROW()+ROWS($G$2:$G$111))),ROW()-ROW($H$2:$H$111)+1),COLUMN($G$2:$G$111),4)))</f>
        <v/>
      </c>
      <c r="O94" s="121" t="str">
        <f t="array" aca="1" ref="O94" ca="1">IF(ROW()-ROW($I$2:$I$111)+1&gt;ROWS($H$2:$H$111)-COUNTBLANK($H$2:$H$111),"",INDIRECT(ADDRESS(SMALL((IF($H$2:$H$111&lt;&gt;"",ROW($H$2:$H$111),ROW()+ROWS($H$2:$H$111))),ROW()-ROW($I$2:$I$111)+1),COLUMN($H$2:$H$111),4)))</f>
        <v/>
      </c>
      <c r="P94" s="121" t="str">
        <f t="array" aca="1" ref="P94" ca="1">IF(ROW()-ROW($J$2:$J$111)+1&gt;ROWS($I$2:$I$111)-COUNTBLANK($I$2:$I$111),"",INDIRECT(ADDRESS(SMALL((IF($I$2:$I$111&lt;&gt;"",ROW($I$2:$I$111),ROW()+ROWS($I$2:$I$111))),ROW()-ROW($J$2:$J$111)+1),COLUMN($I$2:$I$111),4)))</f>
        <v/>
      </c>
    </row>
    <row r="95" spans="4:16" x14ac:dyDescent="0.25">
      <c r="D95" s="916"/>
      <c r="E95" s="194" t="str">
        <f>IF(H95="","","2021")</f>
        <v/>
      </c>
      <c r="F95" s="146" t="str">
        <f t="shared" si="19"/>
        <v/>
      </c>
      <c r="G95" s="146" t="str">
        <f t="shared" si="20"/>
        <v/>
      </c>
      <c r="H95" s="177" t="str">
        <f>IF(A10="relevant",IF(Matrix!C26="","",IF(Matrix!C26&lt;Berechnung2!$G$43,Berechnung2!$L$43,"")),"")</f>
        <v/>
      </c>
      <c r="I95" s="121" t="str">
        <f>IF(H95="","",VLOOKUP(F95,Berechnung2!$I$15:$J$25,2,FALSE))</f>
        <v/>
      </c>
      <c r="J95" s="132" t="str">
        <f t="shared" si="18"/>
        <v/>
      </c>
      <c r="L95" s="55" t="str">
        <f t="array" aca="1" ref="L95" ca="1">IF(ROW()-ROW($F$2:$F$111)+1&gt;ROWS($E$2:$E$111)-COUNTBLANK($E$2:$E$111),"",INDIRECT(ADDRESS(SMALL((IF($E$2:$E$111&gt;"",ROW($E$2:$E$111),ROW()+ROWS($E$2:$E$111))),ROW()-ROW($F$2:$F$111)+1),COLUMN($E$2:$E$111),4)))</f>
        <v/>
      </c>
      <c r="M95" s="55" t="str">
        <f t="array" aca="1" ref="M95" ca="1">IF(ROW()-ROW($G$2:$G$111)+1&gt;ROWS($F$2:$F$111)-COUNTBLANK($F$2:$F$111),"",INDIRECT(ADDRESS(SMALL((IF($F$2:$F$111&lt;&gt;"",ROW($F$2:$F$111),ROW()+ROWS($F$2:$F$111))),ROW()-ROW($G$2:$G$111)+1),COLUMN($F$2:$F$111),4)))</f>
        <v/>
      </c>
      <c r="N95" s="55" t="str">
        <f t="array" aca="1" ref="N95" ca="1">IF(ROW()-ROW($H$2:$H$111)+1&gt;ROWS($G$2:$G$111)-COUNTBLANK($G$2:$G$111),"",INDIRECT(ADDRESS(SMALL((IF($G$2:$G$111&lt;&gt;"",ROW($G$2:$G$111),ROW()+ROWS($G$2:$G$111))),ROW()-ROW($H$2:$H$111)+1),COLUMN($G$2:$G$111),4)))</f>
        <v/>
      </c>
      <c r="O95" s="121" t="str">
        <f t="array" aca="1" ref="O95" ca="1">IF(ROW()-ROW($I$2:$I$111)+1&gt;ROWS($H$2:$H$111)-COUNTBLANK($H$2:$H$111),"",INDIRECT(ADDRESS(SMALL((IF($H$2:$H$111&lt;&gt;"",ROW($H$2:$H$111),ROW()+ROWS($H$2:$H$111))),ROW()-ROW($I$2:$I$111)+1),COLUMN($H$2:$H$111),4)))</f>
        <v/>
      </c>
      <c r="P95" s="121" t="str">
        <f t="array" aca="1" ref="P95" ca="1">IF(ROW()-ROW($J$2:$J$111)+1&gt;ROWS($I$2:$I$111)-COUNTBLANK($I$2:$I$111),"",INDIRECT(ADDRESS(SMALL((IF($I$2:$I$111&lt;&gt;"",ROW($I$2:$I$111),ROW()+ROWS($I$2:$I$111))),ROW()-ROW($J$2:$J$111)+1),COLUMN($I$2:$I$111),4)))</f>
        <v/>
      </c>
    </row>
    <row r="96" spans="4:16" x14ac:dyDescent="0.25">
      <c r="D96" s="916"/>
      <c r="E96" s="194" t="str">
        <f>IF(H96="","","2022")</f>
        <v/>
      </c>
      <c r="F96" s="146" t="str">
        <f t="shared" si="19"/>
        <v/>
      </c>
      <c r="G96" s="146" t="str">
        <f t="shared" si="20"/>
        <v/>
      </c>
      <c r="H96" s="177" t="str">
        <f>IF(A11="relevant",IF(Matrix!C27="","",IF(Matrix!C27&lt;Berechnung2!$G$43,Berechnung2!$L$43,"")),"")</f>
        <v/>
      </c>
      <c r="I96" s="121" t="str">
        <f>IF(H96="","",VLOOKUP(F96,Berechnung2!$I$15:$J$25,2,FALSE))</f>
        <v/>
      </c>
      <c r="J96" s="132" t="str">
        <f t="shared" si="18"/>
        <v/>
      </c>
      <c r="L96" s="55" t="str">
        <f t="array" aca="1" ref="L96" ca="1">IF(ROW()-ROW($F$2:$F$111)+1&gt;ROWS($E$2:$E$111)-COUNTBLANK($E$2:$E$111),"",INDIRECT(ADDRESS(SMALL((IF($E$2:$E$111&gt;"",ROW($E$2:$E$111),ROW()+ROWS($E$2:$E$111))),ROW()-ROW($F$2:$F$111)+1),COLUMN($E$2:$E$111),4)))</f>
        <v/>
      </c>
      <c r="M96" s="55" t="str">
        <f t="array" aca="1" ref="M96" ca="1">IF(ROW()-ROW($G$2:$G$111)+1&gt;ROWS($F$2:$F$111)-COUNTBLANK($F$2:$F$111),"",INDIRECT(ADDRESS(SMALL((IF($F$2:$F$111&lt;&gt;"",ROW($F$2:$F$111),ROW()+ROWS($F$2:$F$111))),ROW()-ROW($G$2:$G$111)+1),COLUMN($F$2:$F$111),4)))</f>
        <v/>
      </c>
      <c r="N96" s="55" t="str">
        <f t="array" aca="1" ref="N96" ca="1">IF(ROW()-ROW($H$2:$H$111)+1&gt;ROWS($G$2:$G$111)-COUNTBLANK($G$2:$G$111),"",INDIRECT(ADDRESS(SMALL((IF($G$2:$G$111&lt;&gt;"",ROW($G$2:$G$111),ROW()+ROWS($G$2:$G$111))),ROW()-ROW($H$2:$H$111)+1),COLUMN($G$2:$G$111),4)))</f>
        <v/>
      </c>
      <c r="O96" s="121" t="str">
        <f t="array" aca="1" ref="O96" ca="1">IF(ROW()-ROW($I$2:$I$111)+1&gt;ROWS($H$2:$H$111)-COUNTBLANK($H$2:$H$111),"",INDIRECT(ADDRESS(SMALL((IF($H$2:$H$111&lt;&gt;"",ROW($H$2:$H$111),ROW()+ROWS($H$2:$H$111))),ROW()-ROW($I$2:$I$111)+1),COLUMN($H$2:$H$111),4)))</f>
        <v/>
      </c>
      <c r="P96" s="121" t="str">
        <f t="array" aca="1" ref="P96" ca="1">IF(ROW()-ROW($J$2:$J$111)+1&gt;ROWS($I$2:$I$111)-COUNTBLANK($I$2:$I$111),"",INDIRECT(ADDRESS(SMALL((IF($I$2:$I$111&lt;&gt;"",ROW($I$2:$I$111),ROW()+ROWS($I$2:$I$111))),ROW()-ROW($J$2:$J$111)+1),COLUMN($I$2:$I$111),4)))</f>
        <v/>
      </c>
    </row>
    <row r="97" spans="4:16" x14ac:dyDescent="0.25">
      <c r="D97" s="180"/>
      <c r="E97" s="194" t="str">
        <f>IF(H97="","","2023")</f>
        <v/>
      </c>
      <c r="F97" s="146" t="str">
        <f t="shared" ref="F97" si="21">IF(H97="","","f")</f>
        <v/>
      </c>
      <c r="G97" s="146" t="str">
        <f t="shared" ref="G97" si="22">IF(H97="","","6")</f>
        <v/>
      </c>
      <c r="H97" s="177" t="str">
        <f>IF(A12="relevant",IF(Matrix!C28="","",IF(Matrix!C28&lt;Berechnung2!$G$43,Berechnung2!$L$43,"")),"")</f>
        <v/>
      </c>
      <c r="I97" s="121" t="str">
        <f>IF(H97="","",VLOOKUP(F97,Berechnung2!$I$15:$J$25,2,FALSE))</f>
        <v/>
      </c>
      <c r="J97" s="132" t="str">
        <f t="shared" ref="J97" si="23">IF(H97&lt;&gt;"",1,"")</f>
        <v/>
      </c>
      <c r="L97" s="55" t="str">
        <f t="array" aca="1" ref="L97" ca="1">IF(ROW()-ROW($F$2:$F$111)+1&gt;ROWS($E$2:$E$111)-COUNTBLANK($E$2:$E$111),"",INDIRECT(ADDRESS(SMALL((IF($E$2:$E$111&gt;"",ROW($E$2:$E$111),ROW()+ROWS($E$2:$E$111))),ROW()-ROW($F$2:$F$111)+1),COLUMN($E$2:$E$111),4)))</f>
        <v/>
      </c>
      <c r="M97" s="55" t="str">
        <f t="array" aca="1" ref="M97" ca="1">IF(ROW()-ROW($G$2:$G$111)+1&gt;ROWS($F$2:$F$111)-COUNTBLANK($F$2:$F$111),"",INDIRECT(ADDRESS(SMALL((IF($F$2:$F$111&lt;&gt;"",ROW($F$2:$F$111),ROW()+ROWS($F$2:$F$111))),ROW()-ROW($G$2:$G$111)+1),COLUMN($F$2:$F$111),4)))</f>
        <v/>
      </c>
      <c r="N97" s="55" t="str">
        <f t="array" aca="1" ref="N97" ca="1">IF(ROW()-ROW($H$2:$H$111)+1&gt;ROWS($G$2:$G$111)-COUNTBLANK($G$2:$G$111),"",INDIRECT(ADDRESS(SMALL((IF($G$2:$G$111&lt;&gt;"",ROW($G$2:$G$111),ROW()+ROWS($G$2:$G$111))),ROW()-ROW($H$2:$H$111)+1),COLUMN($G$2:$G$111),4)))</f>
        <v/>
      </c>
      <c r="O97" s="121" t="str">
        <f t="array" aca="1" ref="O97" ca="1">IF(ROW()-ROW($I$2:$I$111)+1&gt;ROWS($H$2:$H$111)-COUNTBLANK($H$2:$H$111),"",INDIRECT(ADDRESS(SMALL((IF($H$2:$H$111&lt;&gt;"",ROW($H$2:$H$111),ROW()+ROWS($H$2:$H$111))),ROW()-ROW($I$2:$I$111)+1),COLUMN($H$2:$H$111),4)))</f>
        <v/>
      </c>
      <c r="P97" s="121" t="str">
        <f t="array" aca="1" ref="P97" ca="1">IF(ROW()-ROW($J$2:$J$111)+1&gt;ROWS($I$2:$I$111)-COUNTBLANK($I$2:$I$111),"",INDIRECT(ADDRESS(SMALL((IF($I$2:$I$111&lt;&gt;"",ROW($I$2:$I$111),ROW()+ROWS($I$2:$I$111))),ROW()-ROW($J$2:$J$111)+1),COLUMN($I$2:$I$111),4)))</f>
        <v/>
      </c>
    </row>
    <row r="98" spans="4:16" ht="12" thickBot="1" x14ac:dyDescent="0.3">
      <c r="D98" s="129" t="s">
        <v>34</v>
      </c>
      <c r="E98" s="195" t="str">
        <f>IF(H98="","","2024")</f>
        <v/>
      </c>
      <c r="F98" s="148" t="str">
        <f t="shared" si="19"/>
        <v/>
      </c>
      <c r="G98" s="148" t="str">
        <f t="shared" si="20"/>
        <v/>
      </c>
      <c r="H98" s="192" t="str">
        <f>IF(A13="relevant",IF(Matrix!C29="","",IF(Matrix!C29&lt;Berechnung2!$G$43,Berechnung2!$L$43,"")),"")</f>
        <v/>
      </c>
      <c r="I98" s="85" t="str">
        <f>IF(H98="","",VLOOKUP(F98,Berechnung2!$I$15:$J$25,2,FALSE))</f>
        <v/>
      </c>
      <c r="J98" s="86" t="str">
        <f t="shared" si="18"/>
        <v/>
      </c>
      <c r="L98" s="55" t="str">
        <f t="array" aca="1" ref="L98" ca="1">IF(ROW()-ROW($F$2:$F$111)+1&gt;ROWS($E$2:$E$111)-COUNTBLANK($E$2:$E$111),"",INDIRECT(ADDRESS(SMALL((IF($E$2:$E$111&gt;"",ROW($E$2:$E$111),ROW()+ROWS($E$2:$E$111))),ROW()-ROW($F$2:$F$111)+1),COLUMN($E$2:$E$111),4)))</f>
        <v/>
      </c>
      <c r="M98" s="55" t="str">
        <f t="array" aca="1" ref="M98" ca="1">IF(ROW()-ROW($G$2:$G$111)+1&gt;ROWS($F$2:$F$111)-COUNTBLANK($F$2:$F$111),"",INDIRECT(ADDRESS(SMALL((IF($F$2:$F$111&lt;&gt;"",ROW($F$2:$F$111),ROW()+ROWS($F$2:$F$111))),ROW()-ROW($G$2:$G$111)+1),COLUMN($F$2:$F$111),4)))</f>
        <v/>
      </c>
      <c r="N98" s="55" t="str">
        <f t="array" aca="1" ref="N98" ca="1">IF(ROW()-ROW($H$2:$H$111)+1&gt;ROWS($G$2:$G$111)-COUNTBLANK($G$2:$G$111),"",INDIRECT(ADDRESS(SMALL((IF($G$2:$G$111&lt;&gt;"",ROW($G$2:$G$111),ROW()+ROWS($G$2:$G$111))),ROW()-ROW($H$2:$H$111)+1),COLUMN($G$2:$G$111),4)))</f>
        <v/>
      </c>
      <c r="O98" s="121" t="str">
        <f t="array" aca="1" ref="O98" ca="1">IF(ROW()-ROW($I$2:$I$111)+1&gt;ROWS($H$2:$H$111)-COUNTBLANK($H$2:$H$111),"",INDIRECT(ADDRESS(SMALL((IF($H$2:$H$111&lt;&gt;"",ROW($H$2:$H$111),ROW()+ROWS($H$2:$H$111))),ROW()-ROW($I$2:$I$111)+1),COLUMN($H$2:$H$111),4)))</f>
        <v/>
      </c>
      <c r="P98" s="121" t="str">
        <f t="array" aca="1" ref="P98" ca="1">IF(ROW()-ROW($J$2:$J$111)+1&gt;ROWS($I$2:$I$111)-COUNTBLANK($I$2:$I$111),"",INDIRECT(ADDRESS(SMALL((IF($I$2:$I$111&lt;&gt;"",ROW($I$2:$I$111),ROW()+ROWS($I$2:$I$111))),ROW()-ROW($J$2:$J$111)+1),COLUMN($I$2:$I$111),4)))</f>
        <v/>
      </c>
    </row>
    <row r="99" spans="4:16" ht="23.25" thickBot="1" x14ac:dyDescent="0.3">
      <c r="D99" s="204" t="s">
        <v>35</v>
      </c>
      <c r="E99" s="437" t="str">
        <f>IF(H99="","","2020-2022")</f>
        <v/>
      </c>
      <c r="F99" s="149" t="str">
        <f>IF(H99="","","g")</f>
        <v/>
      </c>
      <c r="G99" s="149" t="str">
        <f t="shared" si="20"/>
        <v/>
      </c>
      <c r="H99" s="431" t="str">
        <f>IF(OR(Matrix!R31="-----",Matrix!R31=""),"",IF(Matrix!R31="",0,IF(ROUND(Matrix!R31,4)&gt;Berechnung2!J44,Berechnung2!L44,"")))</f>
        <v/>
      </c>
      <c r="I99" s="140" t="str">
        <f>IF(H99="","",VLOOKUP(F99,Berechnung2!$I$15:$J$25,2,FALSE))</f>
        <v/>
      </c>
      <c r="J99" s="141" t="str">
        <f t="shared" si="18"/>
        <v/>
      </c>
      <c r="L99" s="55" t="str">
        <f t="array" aca="1" ref="L99" ca="1">IF(ROW()-ROW($F$2:$F$111)+1&gt;ROWS($E$2:$E$111)-COUNTBLANK($E$2:$E$111),"",INDIRECT(ADDRESS(SMALL((IF($E$2:$E$111&gt;"",ROW($E$2:$E$111),ROW()+ROWS($E$2:$E$111))),ROW()-ROW($F$2:$F$111)+1),COLUMN($E$2:$E$111),4)))</f>
        <v/>
      </c>
      <c r="M99" s="55" t="str">
        <f t="array" aca="1" ref="M99" ca="1">IF(ROW()-ROW($G$2:$G$111)+1&gt;ROWS($F$2:$F$111)-COUNTBLANK($F$2:$F$111),"",INDIRECT(ADDRESS(SMALL((IF($F$2:$F$111&lt;&gt;"",ROW($F$2:$F$111),ROW()+ROWS($F$2:$F$111))),ROW()-ROW($G$2:$G$111)+1),COLUMN($F$2:$F$111),4)))</f>
        <v/>
      </c>
      <c r="N99" s="55" t="str">
        <f t="array" aca="1" ref="N99" ca="1">IF(ROW()-ROW($H$2:$H$111)+1&gt;ROWS($G$2:$G$111)-COUNTBLANK($G$2:$G$111),"",INDIRECT(ADDRESS(SMALL((IF($G$2:$G$111&lt;&gt;"",ROW($G$2:$G$111),ROW()+ROWS($G$2:$G$111))),ROW()-ROW($H$2:$H$111)+1),COLUMN($G$2:$G$111),4)))</f>
        <v/>
      </c>
      <c r="O99" s="121" t="str">
        <f t="array" aca="1" ref="O99" ca="1">IF(ROW()-ROW($I$2:$I$111)+1&gt;ROWS($H$2:$H$111)-COUNTBLANK($H$2:$H$111),"",INDIRECT(ADDRESS(SMALL((IF($H$2:$H$111&lt;&gt;"",ROW($H$2:$H$111),ROW()+ROWS($H$2:$H$111))),ROW()-ROW($I$2:$I$111)+1),COLUMN($H$2:$H$111),4)))</f>
        <v/>
      </c>
      <c r="P99" s="121" t="str">
        <f t="array" aca="1" ref="P99" ca="1">IF(ROW()-ROW($J$2:$J$111)+1&gt;ROWS($I$2:$I$111)-COUNTBLANK($I$2:$I$111),"",INDIRECT(ADDRESS(SMALL((IF($I$2:$I$111&lt;&gt;"",ROW($I$2:$I$111),ROW()+ROWS($I$2:$I$111))),ROW()-ROW($J$2:$J$111)+1),COLUMN($I$2:$I$111),4)))</f>
        <v/>
      </c>
    </row>
    <row r="100" spans="4:16" x14ac:dyDescent="0.25">
      <c r="D100" s="130" t="s">
        <v>440</v>
      </c>
      <c r="E100" s="145" t="str">
        <f>IF(H100="","","2013")</f>
        <v/>
      </c>
      <c r="F100" s="433"/>
      <c r="G100" s="433"/>
      <c r="H100" s="434"/>
      <c r="I100" s="435"/>
      <c r="J100" s="436"/>
      <c r="L100" s="55" t="str">
        <f t="array" aca="1" ref="L100" ca="1">IF(ROW()-ROW($F$2:$F$111)+1&gt;ROWS($E$2:$E$111)-COUNTBLANK($E$2:$E$111),"",INDIRECT(ADDRESS(SMALL((IF($E$2:$E$111&gt;"",ROW($E$2:$E$111),ROW()+ROWS($E$2:$E$111))),ROW()-ROW($F$2:$F$111)+1),COLUMN($E$2:$E$111),4)))</f>
        <v/>
      </c>
      <c r="M100" s="55" t="str">
        <f t="array" aca="1" ref="M100" ca="1">IF(ROW()-ROW($G$2:$G$111)+1&gt;ROWS($F$2:$F$111)-COUNTBLANK($F$2:$F$111),"",INDIRECT(ADDRESS(SMALL((IF($F$2:$F$111&lt;&gt;"",ROW($F$2:$F$111),ROW()+ROWS($F$2:$F$111))),ROW()-ROW($G$2:$G$111)+1),COLUMN($F$2:$F$111),4)))</f>
        <v/>
      </c>
      <c r="N100" s="55" t="str">
        <f t="array" aca="1" ref="N100" ca="1">IF(ROW()-ROW($H$2:$H$111)+1&gt;ROWS($G$2:$G$111)-COUNTBLANK($G$2:$G$111),"",INDIRECT(ADDRESS(SMALL((IF($G$2:$G$111&lt;&gt;"",ROW($G$2:$G$111),ROW()+ROWS($G$2:$G$111))),ROW()-ROW($H$2:$H$111)+1),COLUMN($G$2:$G$111),4)))</f>
        <v/>
      </c>
      <c r="O100" s="121" t="str">
        <f t="array" aca="1" ref="O100" ca="1">IF(ROW()-ROW($I$2:$I$111)+1&gt;ROWS($H$2:$H$111)-COUNTBLANK($H$2:$H$111),"",INDIRECT(ADDRESS(SMALL((IF($H$2:$H$111&lt;&gt;"",ROW($H$2:$H$111),ROW()+ROWS($H$2:$H$111))),ROW()-ROW($I$2:$I$111)+1),COLUMN($H$2:$H$111),4)))</f>
        <v/>
      </c>
      <c r="P100" s="121" t="str">
        <f t="array" aca="1" ref="P100" ca="1">IF(ROW()-ROW($J$2:$J$111)+1&gt;ROWS($I$2:$I$111)-COUNTBLANK($I$2:$I$111),"",INDIRECT(ADDRESS(SMALL((IF($I$2:$I$111&lt;&gt;"",ROW($I$2:$I$111),ROW()+ROWS($I$2:$I$111))),ROW()-ROW($J$2:$J$111)+1),COLUMN($I$2:$I$111),4)))</f>
        <v/>
      </c>
    </row>
    <row r="101" spans="4:16" x14ac:dyDescent="0.25">
      <c r="D101" s="916" t="s">
        <v>643</v>
      </c>
      <c r="E101" s="145" t="str">
        <f>IF(H101="","","2014")</f>
        <v/>
      </c>
      <c r="F101" s="415"/>
      <c r="G101" s="415"/>
      <c r="H101" s="416"/>
      <c r="I101" s="417"/>
      <c r="J101" s="418"/>
      <c r="L101" s="55" t="str">
        <f t="array" aca="1" ref="L101" ca="1">IF(ROW()-ROW($F$2:$F$111)+1&gt;ROWS($E$2:$E$111)-COUNTBLANK($E$2:$E$111),"",INDIRECT(ADDRESS(SMALL((IF($E$2:$E$111&gt;"",ROW($E$2:$E$111),ROW()+ROWS($E$2:$E$111))),ROW()-ROW($F$2:$F$111)+1),COLUMN($E$2:$E$111),4)))</f>
        <v/>
      </c>
      <c r="M101" s="55" t="str">
        <f t="array" aca="1" ref="M101" ca="1">IF(ROW()-ROW($G$2:$G$111)+1&gt;ROWS($F$2:$F$111)-COUNTBLANK($F$2:$F$111),"",INDIRECT(ADDRESS(SMALL((IF($F$2:$F$111&lt;&gt;"",ROW($F$2:$F$111),ROW()+ROWS($F$2:$F$111))),ROW()-ROW($G$2:$G$111)+1),COLUMN($F$2:$F$111),4)))</f>
        <v/>
      </c>
      <c r="N101" s="55" t="str">
        <f t="array" aca="1" ref="N101" ca="1">IF(ROW()-ROW($H$2:$H$111)+1&gt;ROWS($G$2:$G$111)-COUNTBLANK($G$2:$G$111),"",INDIRECT(ADDRESS(SMALL((IF($G$2:$G$111&lt;&gt;"",ROW($G$2:$G$111),ROW()+ROWS($G$2:$G$111))),ROW()-ROW($H$2:$H$111)+1),COLUMN($G$2:$G$111),4)))</f>
        <v/>
      </c>
      <c r="O101" s="121" t="str">
        <f t="array" aca="1" ref="O101" ca="1">IF(ROW()-ROW($I$2:$I$111)+1&gt;ROWS($H$2:$H$111)-COUNTBLANK($H$2:$H$111),"",INDIRECT(ADDRESS(SMALL((IF($H$2:$H$111&lt;&gt;"",ROW($H$2:$H$111),ROW()+ROWS($H$2:$H$111))),ROW()-ROW($I$2:$I$111)+1),COLUMN($H$2:$H$111),4)))</f>
        <v/>
      </c>
      <c r="P101" s="121" t="str">
        <f t="array" aca="1" ref="P101" ca="1">IF(ROW()-ROW($J$2:$J$111)+1&gt;ROWS($I$2:$I$111)-COUNTBLANK($I$2:$I$111),"",INDIRECT(ADDRESS(SMALL((IF($I$2:$I$111&lt;&gt;"",ROW($I$2:$I$111),ROW()+ROWS($I$2:$I$111))),ROW()-ROW($J$2:$J$111)+1),COLUMN($I$2:$I$111),4)))</f>
        <v/>
      </c>
    </row>
    <row r="102" spans="4:16" x14ac:dyDescent="0.25">
      <c r="D102" s="916"/>
      <c r="E102" s="145" t="str">
        <f>IF(H102="","","2015")</f>
        <v/>
      </c>
      <c r="F102" s="415"/>
      <c r="G102" s="415"/>
      <c r="H102" s="416"/>
      <c r="I102" s="417"/>
      <c r="J102" s="418"/>
      <c r="L102" s="55" t="str">
        <f t="array" aca="1" ref="L102" ca="1">IF(ROW()-ROW($F$2:$F$111)+1&gt;ROWS($E$2:$E$111)-COUNTBLANK($E$2:$E$111),"",INDIRECT(ADDRESS(SMALL((IF($E$2:$E$111&gt;"",ROW($E$2:$E$111),ROW()+ROWS($E$2:$E$111))),ROW()-ROW($F$2:$F$111)+1),COLUMN($E$2:$E$111),4)))</f>
        <v/>
      </c>
      <c r="M102" s="55" t="str">
        <f t="array" aca="1" ref="M102" ca="1">IF(ROW()-ROW($G$2:$G$111)+1&gt;ROWS($F$2:$F$111)-COUNTBLANK($F$2:$F$111),"",INDIRECT(ADDRESS(SMALL((IF($F$2:$F$111&lt;&gt;"",ROW($F$2:$F$111),ROW()+ROWS($F$2:$F$111))),ROW()-ROW($G$2:$G$111)+1),COLUMN($F$2:$F$111),4)))</f>
        <v/>
      </c>
      <c r="N102" s="55" t="str">
        <f t="array" aca="1" ref="N102" ca="1">IF(ROW()-ROW($H$2:$H$111)+1&gt;ROWS($G$2:$G$111)-COUNTBLANK($G$2:$G$111),"",INDIRECT(ADDRESS(SMALL((IF($G$2:$G$111&lt;&gt;"",ROW($G$2:$G$111),ROW()+ROWS($G$2:$G$111))),ROW()-ROW($H$2:$H$111)+1),COLUMN($G$2:$G$111),4)))</f>
        <v/>
      </c>
      <c r="O102" s="121" t="str">
        <f t="array" aca="1" ref="O102" ca="1">IF(ROW()-ROW($I$2:$I$111)+1&gt;ROWS($H$2:$H$111)-COUNTBLANK($H$2:$H$111),"",INDIRECT(ADDRESS(SMALL((IF($H$2:$H$111&lt;&gt;"",ROW($H$2:$H$111),ROW()+ROWS($H$2:$H$111))),ROW()-ROW($I$2:$I$111)+1),COLUMN($H$2:$H$111),4)))</f>
        <v/>
      </c>
      <c r="P102" s="121" t="str">
        <f t="array" aca="1" ref="P102" ca="1">IF(ROW()-ROW($J$2:$J$111)+1&gt;ROWS($I$2:$I$111)-COUNTBLANK($I$2:$I$111),"",INDIRECT(ADDRESS(SMALL((IF($I$2:$I$111&lt;&gt;"",ROW($I$2:$I$111),ROW()+ROWS($I$2:$I$111))),ROW()-ROW($J$2:$J$111)+1),COLUMN($I$2:$I$111),4)))</f>
        <v/>
      </c>
    </row>
    <row r="103" spans="4:16" x14ac:dyDescent="0.25">
      <c r="D103" s="916"/>
      <c r="E103" s="145" t="str">
        <f>IF(H103="","","2016")</f>
        <v/>
      </c>
      <c r="F103" s="415"/>
      <c r="G103" s="415"/>
      <c r="H103" s="416"/>
      <c r="I103" s="417"/>
      <c r="J103" s="418"/>
      <c r="L103" s="55" t="str">
        <f t="array" aca="1" ref="L103" ca="1">IF(ROW()-ROW($F$2:$F$111)+1&gt;ROWS($E$2:$E$111)-COUNTBLANK($E$2:$E$111),"",INDIRECT(ADDRESS(SMALL((IF($E$2:$E$111&gt;"",ROW($E$2:$E$111),ROW()+ROWS($E$2:$E$111))),ROW()-ROW($F$2:$F$111)+1),COLUMN($E$2:$E$111),4)))</f>
        <v/>
      </c>
      <c r="M103" s="55" t="str">
        <f t="array" aca="1" ref="M103" ca="1">IF(ROW()-ROW($G$2:$G$111)+1&gt;ROWS($F$2:$F$111)-COUNTBLANK($F$2:$F$111),"",INDIRECT(ADDRESS(SMALL((IF($F$2:$F$111&lt;&gt;"",ROW($F$2:$F$111),ROW()+ROWS($F$2:$F$111))),ROW()-ROW($G$2:$G$111)+1),COLUMN($F$2:$F$111),4)))</f>
        <v/>
      </c>
      <c r="N103" s="55" t="str">
        <f t="array" aca="1" ref="N103" ca="1">IF(ROW()-ROW($H$2:$H$111)+1&gt;ROWS($G$2:$G$111)-COUNTBLANK($G$2:$G$111),"",INDIRECT(ADDRESS(SMALL((IF($G$2:$G$111&lt;&gt;"",ROW($G$2:$G$111),ROW()+ROWS($G$2:$G$111))),ROW()-ROW($H$2:$H$111)+1),COLUMN($G$2:$G$111),4)))</f>
        <v/>
      </c>
      <c r="O103" s="121" t="str">
        <f t="array" aca="1" ref="O103" ca="1">IF(ROW()-ROW($I$2:$I$111)+1&gt;ROWS($H$2:$H$111)-COUNTBLANK($H$2:$H$111),"",INDIRECT(ADDRESS(SMALL((IF($H$2:$H$111&lt;&gt;"",ROW($H$2:$H$111),ROW()+ROWS($H$2:$H$111))),ROW()-ROW($I$2:$I$111)+1),COLUMN($H$2:$H$111),4)))</f>
        <v/>
      </c>
      <c r="P103" s="121" t="str">
        <f t="array" aca="1" ref="P103" ca="1">IF(ROW()-ROW($J$2:$J$111)+1&gt;ROWS($I$2:$I$111)-COUNTBLANK($I$2:$I$111),"",INDIRECT(ADDRESS(SMALL((IF($I$2:$I$111&lt;&gt;"",ROW($I$2:$I$111),ROW()+ROWS($I$2:$I$111))),ROW()-ROW($J$2:$J$111)+1),COLUMN($I$2:$I$111),4)))</f>
        <v/>
      </c>
    </row>
    <row r="104" spans="4:16" x14ac:dyDescent="0.25">
      <c r="D104" s="916"/>
      <c r="E104" s="145" t="str">
        <f>IF(H104="","","2017")</f>
        <v/>
      </c>
      <c r="F104" s="415"/>
      <c r="G104" s="415"/>
      <c r="H104" s="416"/>
      <c r="I104" s="417"/>
      <c r="J104" s="418"/>
      <c r="L104" s="55" t="str">
        <f t="array" aca="1" ref="L104" ca="1">IF(ROW()-ROW($F$2:$F$111)+1&gt;ROWS($E$2:$E$111)-COUNTBLANK($E$2:$E$111),"",INDIRECT(ADDRESS(SMALL((IF($E$2:$E$111&gt;"",ROW($E$2:$E$111),ROW()+ROWS($E$2:$E$111))),ROW()-ROW($F$2:$F$111)+1),COLUMN($E$2:$E$111),4)))</f>
        <v/>
      </c>
      <c r="M104" s="55" t="str">
        <f t="array" aca="1" ref="M104" ca="1">IF(ROW()-ROW($G$2:$G$111)+1&gt;ROWS($F$2:$F$111)-COUNTBLANK($F$2:$F$111),"",INDIRECT(ADDRESS(SMALL((IF($F$2:$F$111&lt;&gt;"",ROW($F$2:$F$111),ROW()+ROWS($F$2:$F$111))),ROW()-ROW($G$2:$G$111)+1),COLUMN($F$2:$F$111),4)))</f>
        <v/>
      </c>
      <c r="N104" s="55" t="str">
        <f t="array" aca="1" ref="N104" ca="1">IF(ROW()-ROW($H$2:$H$111)+1&gt;ROWS($G$2:$G$111)-COUNTBLANK($G$2:$G$111),"",INDIRECT(ADDRESS(SMALL((IF($G$2:$G$111&lt;&gt;"",ROW($G$2:$G$111),ROW()+ROWS($G$2:$G$111))),ROW()-ROW($H$2:$H$111)+1),COLUMN($G$2:$G$111),4)))</f>
        <v/>
      </c>
      <c r="O104" s="121" t="str">
        <f t="array" aca="1" ref="O104" ca="1">IF(ROW()-ROW($I$2:$I$111)+1&gt;ROWS($H$2:$H$111)-COUNTBLANK($H$2:$H$111),"",INDIRECT(ADDRESS(SMALL((IF($H$2:$H$111&lt;&gt;"",ROW($H$2:$H$111),ROW()+ROWS($H$2:$H$111))),ROW()-ROW($I$2:$I$111)+1),COLUMN($H$2:$H$111),4)))</f>
        <v/>
      </c>
      <c r="P104" s="121" t="str">
        <f t="array" aca="1" ref="P104" ca="1">IF(ROW()-ROW($J$2:$J$111)+1&gt;ROWS($I$2:$I$111)-COUNTBLANK($I$2:$I$111),"",INDIRECT(ADDRESS(SMALL((IF($I$2:$I$111&lt;&gt;"",ROW($I$2:$I$111),ROW()+ROWS($I$2:$I$111))),ROW()-ROW($J$2:$J$111)+1),COLUMN($I$2:$I$111),4)))</f>
        <v/>
      </c>
    </row>
    <row r="105" spans="4:16" x14ac:dyDescent="0.25">
      <c r="D105" s="916"/>
      <c r="E105" s="145" t="str">
        <f>IF(H105="","","2018")</f>
        <v/>
      </c>
      <c r="F105" s="415"/>
      <c r="G105" s="415"/>
      <c r="H105" s="416"/>
      <c r="I105" s="417"/>
      <c r="J105" s="418"/>
      <c r="L105" s="55" t="str">
        <f t="array" aca="1" ref="L105" ca="1">IF(ROW()-ROW($F$2:$F$111)+1&gt;ROWS($E$2:$E$111)-COUNTBLANK($E$2:$E$111),"",INDIRECT(ADDRESS(SMALL((IF($E$2:$E$111&gt;"",ROW($E$2:$E$111),ROW()+ROWS($E$2:$E$111))),ROW()-ROW($F$2:$F$111)+1),COLUMN($E$2:$E$111),4)))</f>
        <v/>
      </c>
      <c r="M105" s="55" t="str">
        <f t="array" aca="1" ref="M105" ca="1">IF(ROW()-ROW($G$2:$G$111)+1&gt;ROWS($F$2:$F$111)-COUNTBLANK($F$2:$F$111),"",INDIRECT(ADDRESS(SMALL((IF($F$2:$F$111&lt;&gt;"",ROW($F$2:$F$111),ROW()+ROWS($F$2:$F$111))),ROW()-ROW($G$2:$G$111)+1),COLUMN($F$2:$F$111),4)))</f>
        <v/>
      </c>
      <c r="N105" s="55" t="str">
        <f t="array" aca="1" ref="N105" ca="1">IF(ROW()-ROW($H$2:$H$111)+1&gt;ROWS($G$2:$G$111)-COUNTBLANK($G$2:$G$111),"",INDIRECT(ADDRESS(SMALL((IF($G$2:$G$111&lt;&gt;"",ROW($G$2:$G$111),ROW()+ROWS($G$2:$G$111))),ROW()-ROW($H$2:$H$111)+1),COLUMN($G$2:$G$111),4)))</f>
        <v/>
      </c>
      <c r="O105" s="121" t="str">
        <f t="array" aca="1" ref="O105" ca="1">IF(ROW()-ROW($I$2:$I$111)+1&gt;ROWS($H$2:$H$111)-COUNTBLANK($H$2:$H$111),"",INDIRECT(ADDRESS(SMALL((IF($H$2:$H$111&lt;&gt;"",ROW($H$2:$H$111),ROW()+ROWS($H$2:$H$111))),ROW()-ROW($I$2:$I$111)+1),COLUMN($H$2:$H$111),4)))</f>
        <v/>
      </c>
      <c r="P105" s="121" t="str">
        <f t="array" aca="1" ref="P105" ca="1">IF(ROW()-ROW($J$2:$J$111)+1&gt;ROWS($I$2:$I$111)-COUNTBLANK($I$2:$I$111),"",INDIRECT(ADDRESS(SMALL((IF($I$2:$I$111&lt;&gt;"",ROW($I$2:$I$111),ROW()+ROWS($I$2:$I$111))),ROW()-ROW($J$2:$J$111)+1),COLUMN($I$2:$I$111),4)))</f>
        <v/>
      </c>
    </row>
    <row r="106" spans="4:16" x14ac:dyDescent="0.25">
      <c r="D106" s="916"/>
      <c r="E106" s="145" t="str">
        <f>IF(H106="","","2019")</f>
        <v/>
      </c>
      <c r="F106" s="415"/>
      <c r="G106" s="415"/>
      <c r="H106" s="416"/>
      <c r="I106" s="417"/>
      <c r="J106" s="418"/>
      <c r="L106" s="55" t="str">
        <f t="array" aca="1" ref="L106" ca="1">IF(ROW()-ROW($F$2:$F$111)+1&gt;ROWS($E$2:$E$111)-COUNTBLANK($E$2:$E$111),"",INDIRECT(ADDRESS(SMALL((IF($E$2:$E$111&gt;"",ROW($E$2:$E$111),ROW()+ROWS($E$2:$E$111))),ROW()-ROW($F$2:$F$111)+1),COLUMN($E$2:$E$111),4)))</f>
        <v/>
      </c>
      <c r="M106" s="55" t="str">
        <f t="array" aca="1" ref="M106" ca="1">IF(ROW()-ROW($G$2:$G$111)+1&gt;ROWS($F$2:$F$111)-COUNTBLANK($F$2:$F$111),"",INDIRECT(ADDRESS(SMALL((IF($F$2:$F$111&lt;&gt;"",ROW($F$2:$F$111),ROW()+ROWS($F$2:$F$111))),ROW()-ROW($G$2:$G$111)+1),COLUMN($F$2:$F$111),4)))</f>
        <v/>
      </c>
      <c r="N106" s="55" t="str">
        <f t="array" aca="1" ref="N106" ca="1">IF(ROW()-ROW($H$2:$H$111)+1&gt;ROWS($G$2:$G$111)-COUNTBLANK($G$2:$G$111),"",INDIRECT(ADDRESS(SMALL((IF($G$2:$G$111&lt;&gt;"",ROW($G$2:$G$111),ROW()+ROWS($G$2:$G$111))),ROW()-ROW($H$2:$H$111)+1),COLUMN($G$2:$G$111),4)))</f>
        <v/>
      </c>
      <c r="O106" s="121" t="str">
        <f t="array" aca="1" ref="O106" ca="1">IF(ROW()-ROW($I$2:$I$111)+1&gt;ROWS($H$2:$H$111)-COUNTBLANK($H$2:$H$111),"",INDIRECT(ADDRESS(SMALL((IF($H$2:$H$111&lt;&gt;"",ROW($H$2:$H$111),ROW()+ROWS($H$2:$H$111))),ROW()-ROW($I$2:$I$111)+1),COLUMN($H$2:$H$111),4)))</f>
        <v/>
      </c>
      <c r="P106" s="121" t="str">
        <f t="array" aca="1" ref="P106" ca="1">IF(ROW()-ROW($J$2:$J$111)+1&gt;ROWS($I$2:$I$111)-COUNTBLANK($I$2:$I$111),"",INDIRECT(ADDRESS(SMALL((IF($I$2:$I$111&lt;&gt;"",ROW($I$2:$I$111),ROW()+ROWS($I$2:$I$111))),ROW()-ROW($J$2:$J$111)+1),COLUMN($I$2:$I$111),4)))</f>
        <v/>
      </c>
    </row>
    <row r="107" spans="4:16" x14ac:dyDescent="0.25">
      <c r="D107" s="916"/>
      <c r="E107" s="145" t="str">
        <f>IF(H107="","","2020")</f>
        <v/>
      </c>
      <c r="F107" s="146" t="str">
        <f>IF(H107="","","h")</f>
        <v/>
      </c>
      <c r="G107" s="146" t="str">
        <f>IF(H107="","","6")</f>
        <v/>
      </c>
      <c r="H107" s="131" t="str">
        <f>IF(A9="relevant",IF(Matrix!R25="","",IF(ROUND(Matrix!R25,4)&lt;Berechnung2!$J$45,Berechnung2!$L$45,"")),"")</f>
        <v/>
      </c>
      <c r="I107" s="121" t="str">
        <f>IF(H107="","",VLOOKUP(F107,Berechnung2!$I$15:$J$25,2,FALSE))</f>
        <v/>
      </c>
      <c r="J107" s="132" t="str">
        <f>IF(H107&lt;&gt;"",1,"")</f>
        <v/>
      </c>
      <c r="L107" s="55" t="str">
        <f t="array" aca="1" ref="L107" ca="1">IF(ROW()-ROW($F$2:$F$111)+1&gt;ROWS($E$2:$E$111)-COUNTBLANK($E$2:$E$111),"",INDIRECT(ADDRESS(SMALL((IF($E$2:$E$111&gt;"",ROW($E$2:$E$111),ROW()+ROWS($E$2:$E$111))),ROW()-ROW($F$2:$F$111)+1),COLUMN($E$2:$E$111),4)))</f>
        <v/>
      </c>
      <c r="M107" s="55" t="str">
        <f t="array" aca="1" ref="M107" ca="1">IF(ROW()-ROW($G$2:$G$111)+1&gt;ROWS($F$2:$F$111)-COUNTBLANK($F$2:$F$111),"",INDIRECT(ADDRESS(SMALL((IF($F$2:$F$111&lt;&gt;"",ROW($F$2:$F$111),ROW()+ROWS($F$2:$F$111))),ROW()-ROW($G$2:$G$111)+1),COLUMN($F$2:$F$111),4)))</f>
        <v/>
      </c>
      <c r="N107" s="55" t="str">
        <f t="array" aca="1" ref="N107" ca="1">IF(ROW()-ROW($H$2:$H$111)+1&gt;ROWS($G$2:$G$111)-COUNTBLANK($G$2:$G$111),"",INDIRECT(ADDRESS(SMALL((IF($G$2:$G$111&lt;&gt;"",ROW($G$2:$G$111),ROW()+ROWS($G$2:$G$111))),ROW()-ROW($H$2:$H$111)+1),COLUMN($G$2:$G$111),4)))</f>
        <v/>
      </c>
      <c r="O107" s="121" t="str">
        <f t="array" aca="1" ref="O107" ca="1">IF(ROW()-ROW($I$2:$I$111)+1&gt;ROWS($H$2:$H$111)-COUNTBLANK($H$2:$H$111),"",INDIRECT(ADDRESS(SMALL((IF($H$2:$H$111&lt;&gt;"",ROW($H$2:$H$111),ROW()+ROWS($H$2:$H$111))),ROW()-ROW($I$2:$I$111)+1),COLUMN($H$2:$H$111),4)))</f>
        <v/>
      </c>
      <c r="P107" s="121" t="str">
        <f t="array" aca="1" ref="P107" ca="1">IF(ROW()-ROW($J$2:$J$111)+1&gt;ROWS($I$2:$I$111)-COUNTBLANK($I$2:$I$111),"",INDIRECT(ADDRESS(SMALL((IF($I$2:$I$111&lt;&gt;"",ROW($I$2:$I$111),ROW()+ROWS($I$2:$I$111))),ROW()-ROW($J$2:$J$111)+1),COLUMN($I$2:$I$111),4)))</f>
        <v/>
      </c>
    </row>
    <row r="108" spans="4:16" x14ac:dyDescent="0.25">
      <c r="D108" s="916"/>
      <c r="E108" s="145" t="str">
        <f>IF(H108="","","2021")</f>
        <v/>
      </c>
      <c r="F108" s="146" t="str">
        <f>IF(H108="","","h")</f>
        <v/>
      </c>
      <c r="G108" s="146" t="str">
        <f t="shared" si="20"/>
        <v/>
      </c>
      <c r="H108" s="131" t="str">
        <f>IF(A10="relevant",IF(Matrix!R26="","",IF(ROUND(Matrix!R26,4)&lt;Berechnung2!$J$45,Berechnung2!$L$45,"")),"")</f>
        <v/>
      </c>
      <c r="I108" s="121" t="str">
        <f>IF(H108="","",VLOOKUP(F108,Berechnung2!$I$15:$J$25,2,FALSE))</f>
        <v/>
      </c>
      <c r="J108" s="132" t="str">
        <f>IF(H108&lt;&gt;"",1,"")</f>
        <v/>
      </c>
      <c r="L108" s="55" t="str">
        <f t="array" aca="1" ref="L108" ca="1">IF(ROW()-ROW($F$2:$F$111)+1&gt;ROWS($E$2:$E$111)-COUNTBLANK($E$2:$E$111),"",INDIRECT(ADDRESS(SMALL((IF($E$2:$E$111&gt;"",ROW($E$2:$E$111),ROW()+ROWS($E$2:$E$111))),ROW()-ROW($F$2:$F$111)+1),COLUMN($E$2:$E$111),4)))</f>
        <v/>
      </c>
      <c r="M108" s="55" t="str">
        <f t="array" aca="1" ref="M108" ca="1">IF(ROW()-ROW($G$2:$G$111)+1&gt;ROWS($F$2:$F$111)-COUNTBLANK($F$2:$F$111),"",INDIRECT(ADDRESS(SMALL((IF($F$2:$F$111&lt;&gt;"",ROW($F$2:$F$111),ROW()+ROWS($F$2:$F$111))),ROW()-ROW($G$2:$G$111)+1),COLUMN($F$2:$F$111),4)))</f>
        <v/>
      </c>
      <c r="N108" s="55" t="str">
        <f t="array" aca="1" ref="N108" ca="1">IF(ROW()-ROW($H$2:$H$111)+1&gt;ROWS($G$2:$G$111)-COUNTBLANK($G$2:$G$111),"",INDIRECT(ADDRESS(SMALL((IF($G$2:$G$111&lt;&gt;"",ROW($G$2:$G$111),ROW()+ROWS($G$2:$G$111))),ROW()-ROW($H$2:$H$111)+1),COLUMN($G$2:$G$111),4)))</f>
        <v/>
      </c>
      <c r="O108" s="121" t="str">
        <f t="array" aca="1" ref="O108" ca="1">IF(ROW()-ROW($I$2:$I$111)+1&gt;ROWS($H$2:$H$111)-COUNTBLANK($H$2:$H$111),"",INDIRECT(ADDRESS(SMALL((IF($H$2:$H$111&lt;&gt;"",ROW($H$2:$H$111),ROW()+ROWS($H$2:$H$111))),ROW()-ROW($I$2:$I$111)+1),COLUMN($H$2:$H$111),4)))</f>
        <v/>
      </c>
      <c r="P108" s="121" t="str">
        <f t="array" aca="1" ref="P108" ca="1">IF(ROW()-ROW($J$2:$J$111)+1&gt;ROWS($I$2:$I$111)-COUNTBLANK($I$2:$I$111),"",INDIRECT(ADDRESS(SMALL((IF($I$2:$I$111&lt;&gt;"",ROW($I$2:$I$111),ROW()+ROWS($I$2:$I$111))),ROW()-ROW($J$2:$J$111)+1),COLUMN($I$2:$I$111),4)))</f>
        <v/>
      </c>
    </row>
    <row r="109" spans="4:16" x14ac:dyDescent="0.25">
      <c r="D109" s="916"/>
      <c r="E109" s="145" t="str">
        <f>IF(H109="","","2022")</f>
        <v/>
      </c>
      <c r="F109" s="146" t="str">
        <f>IF(H109="","","h")</f>
        <v/>
      </c>
      <c r="G109" s="146" t="str">
        <f t="shared" si="20"/>
        <v/>
      </c>
      <c r="H109" s="131" t="str">
        <f>IF(A11="relevant",IF(Matrix!R27="","",IF(ROUND(Matrix!R27,4)&lt;Berechnung2!$J$45,Berechnung2!$L$45,"")),"")</f>
        <v/>
      </c>
      <c r="I109" s="121" t="str">
        <f>IF(H109="","",VLOOKUP(F109,Berechnung2!$I$15:$J$25,2,FALSE))</f>
        <v/>
      </c>
      <c r="J109" s="132" t="str">
        <f>IF(H109&lt;&gt;"",1,"")</f>
        <v/>
      </c>
      <c r="L109" s="55" t="str">
        <f t="array" aca="1" ref="L109" ca="1">IF(ROW()-ROW($F$2:$F$111)+1&gt;ROWS($E$2:$E$111)-COUNTBLANK($E$2:$E$111),"",INDIRECT(ADDRESS(SMALL((IF($E$2:$E$111&gt;"",ROW($E$2:$E$111),ROW()+ROWS($E$2:$E$111))),ROW()-ROW($F$2:$F$111)+1),COLUMN($E$2:$E$111),4)))</f>
        <v/>
      </c>
      <c r="M109" s="55" t="str">
        <f t="array" aca="1" ref="M109" ca="1">IF(ROW()-ROW($G$2:$G$111)+1&gt;ROWS($F$2:$F$111)-COUNTBLANK($F$2:$F$111),"",INDIRECT(ADDRESS(SMALL((IF($F$2:$F$111&lt;&gt;"",ROW($F$2:$F$111),ROW()+ROWS($F$2:$F$111))),ROW()-ROW($G$2:$G$111)+1),COLUMN($F$2:$F$111),4)))</f>
        <v/>
      </c>
      <c r="N109" s="55" t="str">
        <f t="array" aca="1" ref="N109" ca="1">IF(ROW()-ROW($H$2:$H$111)+1&gt;ROWS($G$2:$G$111)-COUNTBLANK($G$2:$G$111),"",INDIRECT(ADDRESS(SMALL((IF($G$2:$G$111&lt;&gt;"",ROW($G$2:$G$111),ROW()+ROWS($G$2:$G$111))),ROW()-ROW($H$2:$H$111)+1),COLUMN($G$2:$G$111),4)))</f>
        <v/>
      </c>
      <c r="O109" s="121" t="str">
        <f t="array" aca="1" ref="O109" ca="1">IF(ROW()-ROW($I$2:$I$111)+1&gt;ROWS($H$2:$H$111)-COUNTBLANK($H$2:$H$111),"",INDIRECT(ADDRESS(SMALL((IF($H$2:$H$111&lt;&gt;"",ROW($H$2:$H$111),ROW()+ROWS($H$2:$H$111))),ROW()-ROW($I$2:$I$111)+1),COLUMN($H$2:$H$111),4)))</f>
        <v/>
      </c>
      <c r="P109" s="121" t="str">
        <f t="array" aca="1" ref="P109" ca="1">IF(ROW()-ROW($J$2:$J$111)+1&gt;ROWS($I$2:$I$111)-COUNTBLANK($I$2:$I$111),"",INDIRECT(ADDRESS(SMALL((IF($I$2:$I$111&lt;&gt;"",ROW($I$2:$I$111),ROW()+ROWS($I$2:$I$111))),ROW()-ROW($J$2:$J$111)+1),COLUMN($I$2:$I$111),4)))</f>
        <v/>
      </c>
    </row>
    <row r="110" spans="4:16" x14ac:dyDescent="0.25">
      <c r="D110" s="180"/>
      <c r="E110" s="145" t="str">
        <f>IF(H110="","","2023")</f>
        <v/>
      </c>
      <c r="F110" s="415"/>
      <c r="G110" s="415"/>
      <c r="H110" s="416"/>
      <c r="I110" s="417"/>
      <c r="J110" s="418"/>
      <c r="L110" s="55" t="str">
        <f t="array" aca="1" ref="L110" ca="1">IF(ROW()-ROW($F$2:$F$111)+1&gt;ROWS($E$2:$E$111)-COUNTBLANK($E$2:$E$111),"",INDIRECT(ADDRESS(SMALL((IF($E$2:$E$111&gt;"",ROW($E$2:$E$111),ROW()+ROWS($E$2:$E$111))),ROW()-ROW($F$2:$F$111)+1),COLUMN($E$2:$E$111),4)))</f>
        <v/>
      </c>
      <c r="M110" s="55" t="str">
        <f t="array" aca="1" ref="M110" ca="1">IF(ROW()-ROW($G$2:$G$111)+1&gt;ROWS($F$2:$F$111)-COUNTBLANK($F$2:$F$111),"",INDIRECT(ADDRESS(SMALL((IF($F$2:$F$111&lt;&gt;"",ROW($F$2:$F$111),ROW()+ROWS($F$2:$F$111))),ROW()-ROW($G$2:$G$111)+1),COLUMN($F$2:$F$111),4)))</f>
        <v/>
      </c>
      <c r="N110" s="55" t="str">
        <f t="array" aca="1" ref="N110" ca="1">IF(ROW()-ROW($H$2:$H$111)+1&gt;ROWS($G$2:$G$111)-COUNTBLANK($G$2:$G$111),"",INDIRECT(ADDRESS(SMALL((IF($G$2:$G$111&lt;&gt;"",ROW($G$2:$G$111),ROW()+ROWS($G$2:$G$111))),ROW()-ROW($H$2:$H$111)+1),COLUMN($G$2:$G$111),4)))</f>
        <v/>
      </c>
      <c r="O110" s="121" t="str">
        <f t="array" aca="1" ref="O110" ca="1">IF(ROW()-ROW($I$2:$I$111)+1&gt;ROWS($H$2:$H$111)-COUNTBLANK($H$2:$H$111),"",INDIRECT(ADDRESS(SMALL((IF($H$2:$H$111&lt;&gt;"",ROW($H$2:$H$111),ROW()+ROWS($H$2:$H$111))),ROW()-ROW($I$2:$I$111)+1),COLUMN($H$2:$H$111),4)))</f>
        <v/>
      </c>
      <c r="P110" s="121" t="str">
        <f t="array" aca="1" ref="P110" ca="1">IF(ROW()-ROW($J$2:$J$111)+1&gt;ROWS($I$2:$I$111)-COUNTBLANK($I$2:$I$111),"",INDIRECT(ADDRESS(SMALL((IF($I$2:$I$111&lt;&gt;"",ROW($I$2:$I$111),ROW()+ROWS($I$2:$I$111))),ROW()-ROW($J$2:$J$111)+1),COLUMN($I$2:$I$111),4)))</f>
        <v/>
      </c>
    </row>
    <row r="111" spans="4:16" ht="12" thickBot="1" x14ac:dyDescent="0.3">
      <c r="D111" s="129" t="s">
        <v>38</v>
      </c>
      <c r="E111" s="145" t="str">
        <f>IF(H111="","","2024")</f>
        <v/>
      </c>
      <c r="F111" s="411"/>
      <c r="G111" s="411"/>
      <c r="H111" s="432"/>
      <c r="I111" s="413"/>
      <c r="J111" s="414"/>
      <c r="L111" s="55" t="str">
        <f t="array" aca="1" ref="L111" ca="1">IF(ROW()-ROW($F$2:$F$111)+1&gt;ROWS($E$2:$E$111)-COUNTBLANK($E$2:$E$111),"",INDIRECT(ADDRESS(SMALL((IF($E$2:$E$111&gt;"",ROW($E$2:$E$111),ROW()+ROWS($E$2:$E$111))),ROW()-ROW($F$2:$F$111)+1),COLUMN($E$2:$E$111),4)))</f>
        <v/>
      </c>
      <c r="M111" s="55" t="str">
        <f t="array" aca="1" ref="M111" ca="1">IF(ROW()-ROW($G$2:$G$111)+1&gt;ROWS($F$2:$F$111)-COUNTBLANK($F$2:$F$111),"",INDIRECT(ADDRESS(SMALL((IF($F$2:$F$111&lt;&gt;"",ROW($F$2:$F$111),ROW()+ROWS($F$2:$F$111))),ROW()-ROW($G$2:$G$111)+1),COLUMN($F$2:$F$111),4)))</f>
        <v/>
      </c>
      <c r="N111" s="55" t="str">
        <f t="array" aca="1" ref="N111" ca="1">IF(ROW()-ROW($H$2:$H$111)+1&gt;ROWS($G$2:$G$111)-COUNTBLANK($G$2:$G$111),"",INDIRECT(ADDRESS(SMALL((IF($G$2:$G$111&lt;&gt;"",ROW($G$2:$G$111),ROW()+ROWS($G$2:$G$111))),ROW()-ROW($H$2:$H$111)+1),COLUMN($G$2:$G$111),4)))</f>
        <v/>
      </c>
      <c r="O111" s="121" t="str">
        <f t="array" aca="1" ref="O111" ca="1">IF(ROW()-ROW($I$2:$I$111)+1&gt;ROWS($H$2:$H$111)-COUNTBLANK($H$2:$H$111),"",INDIRECT(ADDRESS(SMALL((IF($H$2:$H$111&lt;&gt;"",ROW($H$2:$H$111),ROW()+ROWS($H$2:$H$111))),ROW()-ROW($I$2:$I$111)+1),COLUMN($H$2:$H$111),4)))</f>
        <v/>
      </c>
      <c r="P111" s="121" t="str">
        <f t="array" aca="1" ref="P111" ca="1">IF(ROW()-ROW($J$2:$J$111)+1&gt;ROWS($I$2:$I$111)-COUNTBLANK($I$2:$I$111),"",INDIRECT(ADDRESS(SMALL((IF($I$2:$I$111&lt;&gt;"",ROW($I$2:$I$111),ROW()+ROWS($I$2:$I$111))),ROW()-ROW($J$2:$J$111)+1),COLUMN($I$2:$I$111),4)))</f>
        <v/>
      </c>
    </row>
    <row r="112" spans="4:16" x14ac:dyDescent="0.25">
      <c r="D112" s="87"/>
      <c r="E112" s="235"/>
      <c r="H112" s="235"/>
      <c r="I112" s="28"/>
      <c r="J112" s="107"/>
    </row>
    <row r="113" spans="9:10" x14ac:dyDescent="0.25">
      <c r="I113" s="90" t="s">
        <v>463</v>
      </c>
      <c r="J113" s="91">
        <f>IF(SUM(J2:J13)=0,0,SUM(J2:J13))</f>
        <v>0</v>
      </c>
    </row>
    <row r="114" spans="9:10" x14ac:dyDescent="0.25">
      <c r="I114" s="90" t="s">
        <v>461</v>
      </c>
      <c r="J114" s="92">
        <f>IF(SUM(J14:J85)=0,0,SUM(J14:J85))</f>
        <v>0</v>
      </c>
    </row>
    <row r="115" spans="9:10" x14ac:dyDescent="0.25">
      <c r="I115" s="93" t="s">
        <v>440</v>
      </c>
      <c r="J115" s="94">
        <f>IF(SUM(J87:J111)=0,0,SUM(J87:J111))</f>
        <v>0</v>
      </c>
    </row>
    <row r="116" spans="9:10" x14ac:dyDescent="0.25">
      <c r="I116" s="95" t="s">
        <v>277</v>
      </c>
      <c r="J116" s="96">
        <f>IF(J86="",0,J86)</f>
        <v>0</v>
      </c>
    </row>
  </sheetData>
  <mergeCells count="9">
    <mergeCell ref="D101:D109"/>
    <mergeCell ref="D88:D96"/>
    <mergeCell ref="D27:D35"/>
    <mergeCell ref="D3:D11"/>
    <mergeCell ref="D63:D71"/>
    <mergeCell ref="D75:D83"/>
    <mergeCell ref="D39:D47"/>
    <mergeCell ref="D51:D59"/>
    <mergeCell ref="D15:D23"/>
  </mergeCells>
  <phoneticPr fontId="34" type="noConversion"/>
  <pageMargins left="0.7" right="0.7" top="0.78740157499999996" bottom="0.78740157499999996"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K50"/>
  <sheetViews>
    <sheetView topLeftCell="A3" zoomScaleNormal="100" workbookViewId="0">
      <selection activeCell="C21" sqref="C21"/>
    </sheetView>
  </sheetViews>
  <sheetFormatPr baseColWidth="10" defaultColWidth="9" defaultRowHeight="11.25" x14ac:dyDescent="0.25"/>
  <cols>
    <col min="1" max="1" width="16.5703125" style="28" customWidth="1"/>
    <col min="2" max="2" width="49.7109375" style="28" customWidth="1"/>
    <col min="3" max="3" width="27.7109375" style="28" customWidth="1"/>
    <col min="4" max="4" width="23.28515625" style="28" customWidth="1"/>
    <col min="5" max="5" width="29.7109375" style="28" customWidth="1"/>
    <col min="6" max="6" width="35.28515625" style="28" customWidth="1"/>
    <col min="7" max="7" width="26.7109375" style="119" customWidth="1"/>
    <col min="8" max="8" width="25.28515625" style="114" customWidth="1"/>
    <col min="9" max="9" width="30.7109375" style="114" customWidth="1"/>
    <col min="10" max="10" width="42.7109375" style="28" customWidth="1"/>
    <col min="11" max="11" width="29.85546875" style="28" customWidth="1"/>
    <col min="12" max="12" width="55.5703125" style="28" customWidth="1"/>
    <col min="13" max="13" width="30.28515625" style="28" hidden="1" customWidth="1"/>
    <col min="14" max="14" width="97.28515625" style="28" hidden="1" customWidth="1"/>
    <col min="15" max="15" width="14.7109375" style="28" hidden="1" customWidth="1"/>
    <col min="16" max="16" width="11.42578125" style="28" customWidth="1"/>
    <col min="17" max="17" width="27.140625" style="28" customWidth="1"/>
    <col min="18" max="18" width="27.5703125" style="28" customWidth="1"/>
    <col min="19" max="19" width="21.7109375" style="28" customWidth="1"/>
    <col min="20" max="20" width="19.7109375" style="28" customWidth="1"/>
    <col min="21" max="21" width="18.7109375" style="28" customWidth="1"/>
    <col min="22" max="160" width="11.42578125" style="28" customWidth="1"/>
    <col min="161" max="16384" width="9" style="28"/>
  </cols>
  <sheetData>
    <row r="1" spans="1:63" x14ac:dyDescent="0.25">
      <c r="G1" s="28"/>
      <c r="H1" s="28"/>
      <c r="I1" s="28"/>
    </row>
    <row r="2" spans="1:63" ht="12.75" customHeight="1" x14ac:dyDescent="0.25">
      <c r="A2" s="61" t="s">
        <v>472</v>
      </c>
      <c r="G2" s="28"/>
      <c r="H2" s="28"/>
      <c r="I2" s="28"/>
      <c r="AI2" s="114"/>
      <c r="BJ2" s="119"/>
    </row>
    <row r="3" spans="1:63" x14ac:dyDescent="0.25">
      <c r="G3" s="28"/>
      <c r="H3" s="28"/>
      <c r="I3" s="28"/>
      <c r="AI3" s="114"/>
      <c r="BJ3" s="119"/>
    </row>
    <row r="4" spans="1:63" ht="15" customHeight="1" x14ac:dyDescent="0.25">
      <c r="B4" s="110" t="s">
        <v>459</v>
      </c>
      <c r="C4" s="82" t="s">
        <v>440</v>
      </c>
      <c r="D4" s="111" t="s">
        <v>277</v>
      </c>
      <c r="E4" s="112" t="s">
        <v>461</v>
      </c>
      <c r="F4" s="113" t="s">
        <v>463</v>
      </c>
      <c r="G4" s="28"/>
      <c r="H4" s="28"/>
      <c r="I4" s="28"/>
      <c r="AI4" s="114"/>
      <c r="BI4" s="107"/>
    </row>
    <row r="5" spans="1:63" x14ac:dyDescent="0.25">
      <c r="B5" s="135" t="str">
        <f>IF(AND(E5=0,F5=0,Berechnung3!A12="relevant"),B7,IF(OR(Berechnung3!A12="nicht relevant",Berechnung3!A12="EZ"),"",B8))</f>
        <v/>
      </c>
      <c r="C5" s="115">
        <f>Berechnung3!J115</f>
        <v>0</v>
      </c>
      <c r="D5" s="116">
        <f>Berechnung3!J116</f>
        <v>0</v>
      </c>
      <c r="E5" s="117">
        <f>Berechnung3!J114</f>
        <v>0</v>
      </c>
      <c r="F5" s="118">
        <f>Berechnung3!J113</f>
        <v>0</v>
      </c>
      <c r="G5" s="28"/>
      <c r="H5" s="28"/>
      <c r="I5" s="28"/>
      <c r="AI5" s="114"/>
    </row>
    <row r="6" spans="1:63" x14ac:dyDescent="0.25">
      <c r="G6" s="28"/>
      <c r="H6" s="28"/>
      <c r="I6" s="28"/>
      <c r="AI6" s="114"/>
    </row>
    <row r="7" spans="1:63" x14ac:dyDescent="0.25">
      <c r="A7" s="61" t="s">
        <v>612</v>
      </c>
      <c r="B7" s="28" t="s">
        <v>511</v>
      </c>
      <c r="G7" s="28"/>
      <c r="H7" s="28"/>
      <c r="I7" s="28"/>
      <c r="AI7" s="114"/>
    </row>
    <row r="8" spans="1:63" x14ac:dyDescent="0.25">
      <c r="B8" s="28" t="s">
        <v>247</v>
      </c>
      <c r="G8" s="28"/>
      <c r="H8" s="28"/>
      <c r="I8" s="28"/>
      <c r="AI8" s="114"/>
    </row>
    <row r="9" spans="1:63" x14ac:dyDescent="0.25">
      <c r="G9" s="28"/>
      <c r="H9" s="28"/>
      <c r="I9" s="28"/>
      <c r="AI9" s="114"/>
    </row>
    <row r="10" spans="1:63" x14ac:dyDescent="0.25">
      <c r="G10" s="28"/>
      <c r="H10" s="28"/>
      <c r="I10" s="28"/>
      <c r="AI10" s="114"/>
    </row>
    <row r="11" spans="1:63" x14ac:dyDescent="0.25">
      <c r="A11" s="114"/>
      <c r="B11" s="61" t="s">
        <v>492</v>
      </c>
      <c r="G11" s="28"/>
      <c r="H11" s="28"/>
      <c r="I11" s="28"/>
      <c r="AI11" s="114"/>
    </row>
    <row r="12" spans="1:63" x14ac:dyDescent="0.25">
      <c r="A12" s="114"/>
      <c r="D12" s="61"/>
      <c r="E12" s="61"/>
      <c r="G12" s="28"/>
      <c r="H12" s="28"/>
      <c r="I12" s="28"/>
      <c r="AI12" s="114"/>
    </row>
    <row r="13" spans="1:63" x14ac:dyDescent="0.25">
      <c r="A13" s="114"/>
      <c r="B13" s="918" t="s">
        <v>484</v>
      </c>
      <c r="C13" s="920" t="s">
        <v>494</v>
      </c>
      <c r="D13" s="807" t="s">
        <v>483</v>
      </c>
      <c r="E13" s="807" t="s">
        <v>32</v>
      </c>
      <c r="G13" s="28"/>
      <c r="H13" s="28"/>
      <c r="I13" s="28"/>
      <c r="AI13" s="114"/>
    </row>
    <row r="14" spans="1:63" ht="15" customHeight="1" x14ac:dyDescent="0.25">
      <c r="A14" s="114"/>
      <c r="B14" s="919"/>
      <c r="C14" s="921"/>
      <c r="D14" s="807"/>
      <c r="E14" s="807"/>
      <c r="G14" s="28"/>
      <c r="H14" s="28"/>
      <c r="I14" s="69" t="s">
        <v>32</v>
      </c>
      <c r="J14" s="69" t="s">
        <v>39</v>
      </c>
      <c r="AI14" s="114"/>
    </row>
    <row r="15" spans="1:63" ht="50.1" customHeight="1" x14ac:dyDescent="0.25">
      <c r="A15" s="28" t="s">
        <v>491</v>
      </c>
      <c r="B15" s="27" t="str">
        <f>CONCATENATE(IF(Berechnung3!$H$2=Berechnung2!$L$35,Berechnung3!$B$2,""),IF(Berechnung3!$H$3=Berechnung2!$L$35,Berechnung3!$B$3,""),IF(Berechnung3!$H$4=Berechnung2!$L$35,Berechnung3!$B$4,""),IF(Berechnung3!$H$5=Berechnung2!$L$35,Berechnung3!$B$5,""),IF(Berechnung3!$H$6=Berechnung2!$L$35,Berechnung3!$B$6,""),IF(Berechnung3!$H$7=Berechnung2!$L$35,Berechnung3!$B$7,""),IF(Berechnung3!$H$8=Berechnung2!$L$35,Berechnung3!$B$8,""),IF(Berechnung3!$H$9=Berechnung2!$L$35,Berechnung3!$B$9,""),IF(Berechnung3!$H$10=Berechnung2!$L$35,Berechnung3!$B$10,""),IF(Berechnung3!$H$11=Berechnung2!$L$35,Berechnung3!$B$11,""),IF(Berechnung3!$H$12=Berechnung2!$L$35,Berechnung3!$B$12,""),IF(Berechnung3!$H$13=Berechnung2!$L$35,Berechnung3!$B$13,""))</f>
        <v/>
      </c>
      <c r="C15" s="27">
        <f t="shared" ref="C15:C21" si="0">IF(LEN(B15)&gt;0,"X",0)</f>
        <v>0</v>
      </c>
      <c r="D15" s="27" t="str">
        <f>IF(COUNTIF(Berechnung3!$H$2:$H$13,Berechnung2!$L$35)&gt;0,CONCATENATE(Berechnung1!$F$5,"                                                  ",Berechnung2!$L$35),"")</f>
        <v/>
      </c>
      <c r="E15" s="27" t="str">
        <f>IF(COUNTIF(Berechnung3!$H$2:$H$13,Berechnung2!$L$35)&gt;0,"a","")</f>
        <v/>
      </c>
      <c r="G15" s="127" t="e">
        <f t="array" ref="G15">INDEX(B:B,SMALL(IF($C$15:$C$25="X",ROW($15:$25)),1))</f>
        <v>#NUM!</v>
      </c>
      <c r="H15" s="84" t="e">
        <f t="array" ref="H15">INDEX(D:D,SMALL(IF($C$15:$C$25="X",ROW($15:$25)),1))</f>
        <v>#NUM!</v>
      </c>
      <c r="I15" s="55" t="e">
        <f t="array" ref="I15">INDEX(E:E,SMALL(IF($C$15:$C$25="X",ROW($15:$25)),1))</f>
        <v>#NUM!</v>
      </c>
      <c r="J15" s="198" t="e">
        <f>IF(AND(Datendefizite_Matrix!C17="",I15&lt;&gt;""),"Anmerkung OnkoZert : Keine Erläuterung vorhanden",Datendefizite_Matrix!C17)</f>
        <v>#NUM!</v>
      </c>
      <c r="AJ15" s="114"/>
    </row>
    <row r="16" spans="1:63" ht="50.1" customHeight="1" x14ac:dyDescent="0.25">
      <c r="A16" s="28" t="s">
        <v>93</v>
      </c>
      <c r="B16" s="27" t="str">
        <f>CONCATENATE(IF(Berechnung3!$H$14=Berechnung2!$L$36,Berechnung3!$B$2,""),IF(Berechnung3!$H$15=Berechnung2!$L$36,Berechnung3!$B$3,""),IF(Berechnung3!$H$16=Berechnung2!$L$36,Berechnung3!$B$4,""),IF(Berechnung3!$H$17=Berechnung2!$L$36,Berechnung3!$B$5,""),IF(Berechnung3!$H$18=Berechnung2!$L$36,Berechnung3!$B$6,""),IF(Berechnung3!$H$19=Berechnung2!$L$36,Berechnung3!$B$7,""),IF(Berechnung3!$H$20=Berechnung2!$L$36,Berechnung3!$B$8,""),IF(Berechnung3!$H$21=Berechnung2!$L$36,Berechnung3!$B$9,""),IF(Berechnung3!$H$22=Berechnung2!$L$36,Berechnung3!$B$10,""),IF(Berechnung3!$H$23=Berechnung2!$L$36,Berechnung3!$B$11,""))</f>
        <v/>
      </c>
      <c r="C16" s="27">
        <f t="shared" si="0"/>
        <v>0</v>
      </c>
      <c r="D16" s="27" t="str">
        <f>IF(COUNTIF(Berechnung3!$H$14:$H$25,Berechnung2!$L$36)&gt;0,CONCATENATE(Berechnung1!$G$5,"                                     ",Berechnung2!$L$36),"")</f>
        <v/>
      </c>
      <c r="E16" s="27" t="str">
        <f>IF(COUNTIF(Berechnung3!$H$14:$H$25,Berechnung2!$L$36)&gt;0,"m","")</f>
        <v/>
      </c>
      <c r="G16" s="127" t="e">
        <f t="array" ref="G16">INDEX(B:B,SMALL(IF($C$15:$C$25="X",ROW($15:$25)),2))</f>
        <v>#NUM!</v>
      </c>
      <c r="H16" s="84" t="e">
        <f t="array" ref="H16">INDEX(D:D,SMALL(IF($C$15:$C$25="X",ROW($15:$25)),2))</f>
        <v>#NUM!</v>
      </c>
      <c r="I16" s="55" t="e">
        <f t="array" ref="I16">INDEX(E:E,SMALL(IF($C$15:$C$25="X",ROW($15:$25)),2))</f>
        <v>#NUM!</v>
      </c>
      <c r="J16" s="198" t="e">
        <f>IF(AND(Datendefizite_Matrix!C18="",I16&lt;&gt;""),"Anmerkung OnkoZert : Keine Erläuterung vorhanden",Datendefizite_Matrix!C18)</f>
        <v>#NUM!</v>
      </c>
      <c r="AJ16" s="114"/>
      <c r="BK16" s="120"/>
    </row>
    <row r="17" spans="1:63" ht="50.1" customHeight="1" x14ac:dyDescent="0.25">
      <c r="A17" s="28" t="s">
        <v>94</v>
      </c>
      <c r="B17" s="27" t="str">
        <f>CONCATENATE(IF(Berechnung3!$H$26=Berechnung2!$L$39,Berechnung3!$B$2,""),IF(Berechnung3!$H$27=Berechnung2!$L$39,Berechnung3!$B$3,""),IF(Berechnung3!$H$28=Berechnung2!$L$39,Berechnung3!$B$4,""),IF(Berechnung3!$H$29=Berechnung2!$L$39,Berechnung3!$B$5,""),IF(Berechnung3!$H$30=Berechnung2!$L$39,Berechnung3!$B$6,""),IF(Berechnung3!$H$31=Berechnung2!$L$39,Berechnung3!$B$7,""),IF(Berechnung3!$H$32=Berechnung2!$L$39,Berechnung3!$B$8,""),IF(Berechnung3!$H$33=Berechnung2!$L$39,Berechnung3!$B$9,""),IF(Berechnung3!$H$34=Berechnung2!$L$39,Berechnung3!$B$10,""),IF(Berechnung3!$H$35=Berechnung2!$L$39,Berechnung3!$B$11,""))</f>
        <v/>
      </c>
      <c r="C17" s="27">
        <f t="shared" si="0"/>
        <v>0</v>
      </c>
      <c r="D17" s="27" t="str">
        <f>IF(COUNTIF(Berechnung3!$H$26:$H$37,Berechnung2!$L$39)&gt;0,CONCATENATE(Berechnung1!$G$5,"                                     ",Berechnung2!$L$39),"")</f>
        <v/>
      </c>
      <c r="E17" s="27" t="str">
        <f>IF(COUNTIF(Berechnung3!$H$26:$H$37,Berechnung2!$L$39)&gt;0,"c","")</f>
        <v/>
      </c>
      <c r="G17" s="127" t="e">
        <f t="array" ref="G17">INDEX(B:B,SMALL(IF($C$15:$C$25="X",ROW($15:$25)),3))</f>
        <v>#NUM!</v>
      </c>
      <c r="H17" s="84" t="e">
        <f t="array" ref="H17">INDEX(D:D,SMALL(IF($C$15:$C$25="X",ROW($15:$25)),3))</f>
        <v>#NUM!</v>
      </c>
      <c r="I17" s="55" t="e">
        <f t="array" ref="I17">INDEX(E:E,SMALL(IF($C$15:$C$25="X",ROW($15:$25)),3))</f>
        <v>#NUM!</v>
      </c>
      <c r="J17" s="198" t="e">
        <f>IF(AND(Datendefizite_Matrix!C19="",I17&lt;&gt;""),"Anmerkung OnkoZert : Keine Erläuterung vorhanden",Datendefizite_Matrix!C19)</f>
        <v>#NUM!</v>
      </c>
      <c r="AJ17" s="114"/>
    </row>
    <row r="18" spans="1:63" ht="50.1" customHeight="1" x14ac:dyDescent="0.25">
      <c r="A18" s="28" t="s">
        <v>95</v>
      </c>
      <c r="B18" s="27" t="str">
        <f>CONCATENATE(IF(Berechnung3!$H$38=Berechnung2!$L$37,Berechnung3!$B$2,""),IF(Berechnung3!$H$39=Berechnung2!$L$37,Berechnung3!$B$3,""),IF(Berechnung3!$H$40=Berechnung2!$L$37,Berechnung3!$B$4,""),IF(Berechnung3!$H$41=Berechnung2!$L$37,Berechnung3!$B$5,""),IF(Berechnung3!$H$42=Berechnung2!$L$37,Berechnung3!$B$6,""),IF(Berechnung3!$H$43=Berechnung2!$L$37,Berechnung3!$B$7,""),IF(Berechnung3!$H$44=Berechnung2!$L$37,Berechnung3!$B$8,""),IF(Berechnung3!$H$45=Berechnung2!$L$37,Berechnung3!$B$9,""),IF(Berechnung3!$H$46=Berechnung2!$L$37,Berechnung3!$B$10,""),IF(Berechnung3!$H$47=Berechnung2!$L$37,Berechnung3!$B$11,""))</f>
        <v/>
      </c>
      <c r="C18" s="27">
        <f t="shared" si="0"/>
        <v>0</v>
      </c>
      <c r="D18" s="27" t="str">
        <f>IF(COUNTIF(Berechnung3!$H$38:$H$49,Berechnung2!$L$37)&gt;0,CONCATENATE(Berechnung1!$G$5,"                                     ",Berechnung2!$L$37),"")</f>
        <v/>
      </c>
      <c r="E18" s="27" t="str">
        <f>IF(COUNTIF(Berechnung3!$H$38:$H$49,Berechnung2!$L$37)&gt;0,"n","")</f>
        <v/>
      </c>
      <c r="G18" s="127" t="e">
        <f t="array" ref="G18">INDEX(B:B,SMALL(IF($C$15:$C$25="X",ROW($15:$25)),4))</f>
        <v>#NUM!</v>
      </c>
      <c r="H18" s="84" t="e">
        <f t="array" ref="H18">INDEX(D:D,SMALL(IF($C$15:$C$25="X",ROW($15:$25)),4))</f>
        <v>#NUM!</v>
      </c>
      <c r="I18" s="55" t="e">
        <f t="array" ref="I18">INDEX(E:E,SMALL(IF($C$15:$C$25="X",ROW($15:$25)),4))</f>
        <v>#NUM!</v>
      </c>
      <c r="J18" s="198" t="e">
        <f>IF(AND(Datendefizite_Matrix!C20="",I18&lt;&gt;""),"Anmerkung OnkoZert : Keine Erläuterung vorhanden",Datendefizite_Matrix!C20)</f>
        <v>#NUM!</v>
      </c>
      <c r="AJ18" s="114"/>
      <c r="BK18" s="119"/>
    </row>
    <row r="19" spans="1:63" ht="50.1" customHeight="1" x14ac:dyDescent="0.25">
      <c r="A19" s="28" t="s">
        <v>96</v>
      </c>
      <c r="B19" s="27" t="str">
        <f>CONCATENATE(IF(Berechnung3!$H$50=Berechnung2!$L$38,Berechnung3!$B$2,""),IF(Berechnung3!$H$51=Berechnung2!$L$38,Berechnung3!$B$3,""),IF(Berechnung3!$H$52=Berechnung2!$L$38,Berechnung3!$B$4,""),IF(Berechnung3!$H$53=Berechnung2!$L$38,Berechnung3!$B$5,""),IF(Berechnung3!$H$54=Berechnung2!$L$38,Berechnung3!$B$6,""),IF(Berechnung3!$H$55=Berechnung2!$L$38,Berechnung3!$B$7,""),IF(Berechnung3!$H$56=Berechnung2!$L$38,Berechnung3!$B$8,""),IF(Berechnung3!$H$57=Berechnung2!$L$38,Berechnung3!$B$9,""),IF(Berechnung3!$H$58=Berechnung2!$L$38,Berechnung3!$B$10,""),IF(Berechnung3!$H$59=Berechnung2!$L$38,Berechnung3!$B$11,""))</f>
        <v/>
      </c>
      <c r="C19" s="27">
        <f t="shared" si="0"/>
        <v>0</v>
      </c>
      <c r="D19" s="27" t="str">
        <f>IF(COUNTIF(Berechnung3!$H$50:$H$61,Berechnung2!$L$38)&gt;0,CONCATENATE(Berechnung1!$G$5,"                                     ",Berechnung2!$L$38),"")</f>
        <v/>
      </c>
      <c r="E19" s="27" t="str">
        <f>IF(COUNTIF(Berechnung3!$H$50:$H$61,Berechnung2!$L$38)&gt;0,"o","")</f>
        <v/>
      </c>
      <c r="G19" s="127" t="e">
        <f t="array" ref="G19">INDEX(B:B,SMALL(IF($C$15:$C$25="X",ROW($15:$25)),5))</f>
        <v>#NUM!</v>
      </c>
      <c r="H19" s="84" t="e">
        <f t="array" ref="H19">INDEX(D:D,SMALL(IF($C$15:$C$25="X",ROW($15:$25)),5))</f>
        <v>#NUM!</v>
      </c>
      <c r="I19" s="55" t="e">
        <f t="array" ref="I19">INDEX(E:E,SMALL(IF($C$15:$C$25="X",ROW($15:$25)),5))</f>
        <v>#NUM!</v>
      </c>
      <c r="J19" s="198" t="e">
        <f>IF(AND(Datendefizite_Matrix!C21="",I19&lt;&gt;""),"Anmerkung OnkoZert : Keine Erläuterung vorhanden",Datendefizite_Matrix!C21)</f>
        <v>#NUM!</v>
      </c>
    </row>
    <row r="20" spans="1:63" ht="50.1" customHeight="1" x14ac:dyDescent="0.25">
      <c r="A20" s="28" t="s">
        <v>97</v>
      </c>
      <c r="B20" s="27" t="str">
        <f>CONCATENATE(IF(Berechnung3!$H$62=Berechnung2!$L$40,Berechnung3!$B$2,""),IF(Berechnung3!$H$63=Berechnung2!$L$40,Berechnung3!$B$3,""),IF(Berechnung3!$H$64=Berechnung2!$L$40,Berechnung3!$B$4,""),IF(Berechnung3!$H$65=Berechnung2!$L$40,Berechnung3!$B$5,""),IF(Berechnung3!$H$66=Berechnung2!$L$40,Berechnung3!$B$6,""),IF(Berechnung3!$H$67=Berechnung2!$L$40,Berechnung3!$B$7,""),IF(Berechnung3!$H$68=Berechnung2!$L$40,Berechnung3!$B$8,""),IF(Berechnung3!$H$69=Berechnung2!$L$40,Berechnung3!$B$9,""),IF(Berechnung3!$H$70=Berechnung2!$L$40,Berechnung3!$B$10,""),IF(Berechnung3!$H$71=Berechnung2!$L$40,Berechnung3!$B$11,""))</f>
        <v/>
      </c>
      <c r="C20" s="27">
        <f t="shared" si="0"/>
        <v>0</v>
      </c>
      <c r="D20" s="27" t="str">
        <f>IF(COUNTIF(Berechnung3!$H$62:$H$73,Berechnung2!$L$40)&gt;0,CONCATENATE(Berechnung1!$G$5,"                                     ",Berechnung2!$L$40),"")</f>
        <v/>
      </c>
      <c r="E20" s="27" t="str">
        <f>IF(COUNTIF(Berechnung3!$H$62:$H$73,Berechnung2!$L$40)&gt;0,"p","")</f>
        <v/>
      </c>
      <c r="G20" s="127" t="e">
        <f t="array" ref="G20">INDEX(B:B,SMALL(IF($C$15:$C$25="X",ROW($15:$25)),6))</f>
        <v>#NUM!</v>
      </c>
      <c r="H20" s="84" t="e">
        <f t="array" ref="H20">INDEX(D:D,SMALL(IF($C$15:$C$25="X",ROW($15:$25)),6))</f>
        <v>#NUM!</v>
      </c>
      <c r="I20" s="55" t="e">
        <f t="array" ref="I20">INDEX(E:E,SMALL(IF($C$15:$C$25="X",ROW($15:$25)),6))</f>
        <v>#NUM!</v>
      </c>
      <c r="J20" s="198" t="e">
        <f>IF(AND(Datendefizite_Matrix!C22="",I20&lt;&gt;""),"Anmerkung OnkoZert : Keine Erläuterung vorhanden",Datendefizite_Matrix!C22)</f>
        <v>#NUM!</v>
      </c>
    </row>
    <row r="21" spans="1:63" ht="50.1" customHeight="1" x14ac:dyDescent="0.25">
      <c r="A21" s="28" t="s">
        <v>98</v>
      </c>
      <c r="B21" s="27" t="str">
        <f>CONCATENATE(IF(Berechnung3!$H$74=Berechnung2!$L$41,Berechnung3!$B$2,""),IF(Berechnung3!$H$75=Berechnung2!$L$41,Berechnung3!$B$3,""),IF(Berechnung3!$H$76=Berechnung2!$L$41,Berechnung3!$B$4,""),IF(Berechnung3!$H$77=Berechnung2!$L$41,Berechnung3!$B$5,""),IF(Berechnung3!$H$78=Berechnung2!$L$41,Berechnung3!$B$6,""),IF(Berechnung3!$H$79=Berechnung2!$L$41,Berechnung3!$B$7,""),IF(Berechnung3!$H$80=Berechnung2!$L$41,Berechnung3!$B$8,""),IF(Berechnung3!$H$81=Berechnung2!$L$41,Berechnung3!$B$9,""),IF(Berechnung3!$H$82=Berechnung2!$L$41,Berechnung3!$B$10,""),IF(Berechnung3!$H$83=Berechnung2!$L$41,Berechnung3!$B$11,""))</f>
        <v/>
      </c>
      <c r="C21" s="27">
        <f t="shared" si="0"/>
        <v>0</v>
      </c>
      <c r="D21" s="27" t="str">
        <f>IF(COUNTIF(Berechnung3!$H$74:$H$85,Berechnung2!$L$41)&gt;0,CONCATENATE(Berechnung1!$G$5,"                                     ",Berechnung2!$L$41),"")</f>
        <v/>
      </c>
      <c r="E21" s="27" t="str">
        <f>IF(COUNTIF(Berechnung3!$H$74:$H$85,Berechnung2!$L$41)&gt;0,"q","")</f>
        <v/>
      </c>
      <c r="G21" s="127" t="e">
        <f t="array" ref="G21">INDEX(B:B,SMALL(IF($C$15:$C$25="X",ROW($15:$25)),7))</f>
        <v>#NUM!</v>
      </c>
      <c r="H21" s="84" t="e">
        <f t="array" ref="H21">INDEX(D:D,SMALL(IF($C$15:$C$25="X",ROW($15:$25)),7))</f>
        <v>#NUM!</v>
      </c>
      <c r="I21" s="55" t="e">
        <f t="array" ref="I21">INDEX(E:E,SMALL(IF($C$15:$C$25="X",ROW($15:$25)),7))</f>
        <v>#NUM!</v>
      </c>
      <c r="J21" s="198" t="e">
        <f>IF(AND(Datendefizite_Matrix!C23="",I21&lt;&gt;""),"Anmerkung OnkoZert : Keine Erläuterung vorhanden",Datendefizite_Matrix!C23)</f>
        <v>#NUM!</v>
      </c>
    </row>
    <row r="22" spans="1:63" ht="50.1" customHeight="1" x14ac:dyDescent="0.25">
      <c r="A22" s="28" t="s">
        <v>253</v>
      </c>
      <c r="B22" s="27" t="s">
        <v>1223</v>
      </c>
      <c r="C22" s="27">
        <f>IF(LEN(D22)&gt;0,"X",0)</f>
        <v>0</v>
      </c>
      <c r="D22" s="27" t="str">
        <f>IF(COUNTIF(Berechnung3!$H$86,Berechnung2!$L$42)&gt;0,CONCATENATE(Berechnung1!$E$5,"                                     ",Berechnung2!$L$42),"")</f>
        <v/>
      </c>
      <c r="E22" s="27" t="str">
        <f>IF(COUNTIF(Berechnung3!$H$86,Berechnung2!$L$42)&gt;0,"e","")</f>
        <v/>
      </c>
      <c r="G22" s="127" t="e">
        <f t="array" ref="G22">INDEX(B:B,SMALL(IF($C$15:$C$25="X",ROW($15:$25)),8))</f>
        <v>#NUM!</v>
      </c>
      <c r="H22" s="84" t="e">
        <f t="array" ref="H22">INDEX(D:D,SMALL(IF($C$15:$C$25="X",ROW($15:$25)),8))</f>
        <v>#NUM!</v>
      </c>
      <c r="I22" s="55" t="e">
        <f t="array" ref="I22">INDEX(E:E,SMALL(IF($C$15:$C$25="X",ROW($15:$25)),8))</f>
        <v>#NUM!</v>
      </c>
      <c r="J22" s="198" t="e">
        <f>IF(AND(Datendefizite_Matrix!C24="",I22&lt;&gt;""),"Anmerkung OnkoZert : Keine Erläuterung vorhanden",Datendefizite_Matrix!C24)</f>
        <v>#NUM!</v>
      </c>
    </row>
    <row r="23" spans="1:63" ht="50.1" customHeight="1" x14ac:dyDescent="0.25">
      <c r="A23" s="28" t="s">
        <v>99</v>
      </c>
      <c r="B23" s="27" t="str">
        <f>CONCATENATE(IF(Berechnung3!$H$87=Berechnung2!$L$43,Berechnung3!$B$2,""),IF(Berechnung3!$H$88=Berechnung2!$L$43,Berechnung3!$B$3,""),IF(Berechnung3!$H$89=Berechnung2!$L$43,Berechnung3!$B$4,""),IF(Berechnung3!$H$90=Berechnung2!$L$43,Berechnung3!$B$5,""),IF(Berechnung3!$H$91=Berechnung2!$L$43,Berechnung3!$B$6,""),IF(Berechnung3!$H$92=Berechnung2!$L$43,Berechnung3!$B$7,""),IF(Berechnung3!$H$93=Berechnung2!$L$43,Berechnung3!$B$8,""),IF(Berechnung3!$H$94=Berechnung2!$L$43,Berechnung3!$B$9,""),IF(Berechnung3!$H$95=Berechnung2!$L$43,Berechnung3!$B$10,""),IF(Berechnung3!$H$96=Berechnung2!$L$43,Berechnung3!$B$11,""),IF(Berechnung3!$H$97=Berechnung2!$L$43,Berechnung3!$B$12,""),IF(Berechnung3!$H$98=Berechnung2!$L$43,Berechnung3!$B$13,""))</f>
        <v/>
      </c>
      <c r="C23" s="27">
        <f>IF(LEN(B23)&gt;0,"X",0)</f>
        <v>0</v>
      </c>
      <c r="D23" s="27" t="str">
        <f>IF(COUNTIF(Berechnung3!$H$87:$H$98,Berechnung2!$L$43)&gt;0,CONCATENATE(Berechnung1!$D$4,"                                     ",Berechnung2!$L$43),"")</f>
        <v/>
      </c>
      <c r="E23" s="27" t="str">
        <f>IF(COUNTIF(Berechnung3!$H$87:$H$98,Berechnung2!$L$43)&gt;0,"f","")</f>
        <v/>
      </c>
      <c r="G23" s="127" t="e">
        <f t="array" ref="G23">INDEX(B:B,SMALL(IF($C$15:$C$25="X",ROW($15:$25)),9))</f>
        <v>#NUM!</v>
      </c>
      <c r="H23" s="84" t="e">
        <f t="array" ref="H23">INDEX(D:D,SMALL(IF($C$15:$C$25="X",ROW($15:$25)),9))</f>
        <v>#NUM!</v>
      </c>
      <c r="I23" s="55" t="e">
        <f t="array" ref="I23">INDEX(E:E,SMALL(IF($C$15:$C$25="X",ROW($15:$25)),9))</f>
        <v>#NUM!</v>
      </c>
      <c r="J23" s="198" t="e">
        <f>IF(AND(Datendefizite_Matrix!C25="",I23&lt;&gt;""),"Anmerkung OnkoZert : Keine Erläuterung vorhanden",Datendefizite_Matrix!C25)</f>
        <v>#NUM!</v>
      </c>
    </row>
    <row r="24" spans="1:63" ht="50.1" customHeight="1" x14ac:dyDescent="0.25">
      <c r="A24" s="28" t="s">
        <v>100</v>
      </c>
      <c r="B24" s="27" t="s">
        <v>1223</v>
      </c>
      <c r="C24" s="27">
        <f>IF(LEN(D24)&gt;0,"X",0)</f>
        <v>0</v>
      </c>
      <c r="D24" s="27" t="str">
        <f>IF(COUNTIF(Berechnung3!$H$99,Berechnung2!$L$44),CONCATENATE(Berechnung2!$C$4,"                                     ",Berechnung2!$L$44),"")</f>
        <v/>
      </c>
      <c r="E24" s="27" t="str">
        <f>IF(COUNTIF(Berechnung3!$H$99,Berechnung2!$L$44)&gt;0,"g","")</f>
        <v/>
      </c>
      <c r="G24" s="127" t="e">
        <f t="array" ref="G24">INDEX(B:B,SMALL(IF($C$15:$C$25="X",ROW($15:$25)),10))</f>
        <v>#NUM!</v>
      </c>
      <c r="H24" s="84" t="e">
        <f t="array" ref="H24">INDEX(D:D,SMALL(IF($C$15:$C$25="X",ROW($15:$25)),10))</f>
        <v>#NUM!</v>
      </c>
      <c r="I24" s="55" t="e">
        <f t="array" ref="I24">INDEX(E:E,SMALL(IF($C$15:$C$25="X",ROW($15:$25)),10))</f>
        <v>#NUM!</v>
      </c>
      <c r="J24" s="198" t="e">
        <f>IF(AND(Datendefizite_Matrix!C26="",I24&lt;&gt;""),"Anmerkung OnkoZert : Keine Erläuterung vorhanden",Datendefizite_Matrix!C26)</f>
        <v>#NUM!</v>
      </c>
    </row>
    <row r="25" spans="1:63" ht="50.1" customHeight="1" x14ac:dyDescent="0.25">
      <c r="A25" s="28" t="s">
        <v>101</v>
      </c>
      <c r="B25" s="27" t="str">
        <f>CONCATENATE(IF(Berechnung3!$H$107=Berechnung2!$L$45,Berechnung3!$B$9,""),IF(Berechnung3!$H$108=Berechnung2!$L$45,Berechnung3!$B$10,""),IF(Berechnung3!$H$109=Berechnung2!$L$45,Berechnung3!$B$11,""))</f>
        <v/>
      </c>
      <c r="C25" s="27">
        <f>IF(LEN(B25)&gt;0,"X",0)</f>
        <v>0</v>
      </c>
      <c r="D25" s="27" t="str">
        <f>IF(COUNTIF(Berechnung3!H100:H111,Berechnung2!$L$45)&gt;0,CONCATENATE(Berechnung1!$D$4,"                                     ",Berechnung2!$L$45),"")</f>
        <v/>
      </c>
      <c r="E25" s="27" t="str">
        <f>IF(COUNTIF(Berechnung3!H100:H111,Berechnung2!$L$45)&gt;0,"h","")</f>
        <v/>
      </c>
      <c r="G25" s="127" t="e">
        <f t="array" ref="G25">INDEX(B:B,SMALL(IF($C$15:$C$25="X",ROW($15:$25)),11))</f>
        <v>#NUM!</v>
      </c>
      <c r="H25" s="84" t="e">
        <f t="array" ref="H25">INDEX(D:D,SMALL(IF($C$15:$C$25="X",ROW($15:$25)),11))</f>
        <v>#NUM!</v>
      </c>
      <c r="I25" s="55" t="e">
        <f t="array" ref="I25">INDEX(E:E,SMALL(IF($C$15:$C$25="X",ROW($15:$25)),11))</f>
        <v>#NUM!</v>
      </c>
      <c r="J25" s="198" t="e">
        <f>IF(AND(Datendefizite_Matrix!C27="",I25&lt;&gt;""),"Anmerkung OnkoZert : Keine Erläuterung vorhanden",Datendefizite_Matrix!C27)</f>
        <v>#NUM!</v>
      </c>
    </row>
    <row r="26" spans="1:63" x14ac:dyDescent="0.25">
      <c r="A26" s="107"/>
      <c r="B26" s="87"/>
      <c r="C26" s="87"/>
      <c r="D26" s="87"/>
      <c r="E26" s="87"/>
      <c r="G26" s="28"/>
      <c r="H26" s="28"/>
    </row>
    <row r="27" spans="1:63" x14ac:dyDescent="0.25">
      <c r="A27" s="107"/>
      <c r="B27" s="87"/>
      <c r="C27" s="87"/>
      <c r="D27" s="87"/>
      <c r="E27" s="87"/>
    </row>
    <row r="28" spans="1:63" x14ac:dyDescent="0.25">
      <c r="A28" s="107"/>
      <c r="B28" s="87"/>
      <c r="C28" s="87"/>
      <c r="D28" s="87"/>
      <c r="E28" s="87"/>
    </row>
    <row r="29" spans="1:63" s="71" customFormat="1" x14ac:dyDescent="0.25">
      <c r="A29" s="28"/>
      <c r="B29" s="28"/>
      <c r="C29" s="28"/>
      <c r="D29" s="28"/>
      <c r="E29" s="28"/>
      <c r="F29" s="28"/>
      <c r="G29" s="119"/>
      <c r="H29" s="114"/>
      <c r="I29" s="114"/>
      <c r="J29" s="28"/>
      <c r="K29" s="28"/>
      <c r="L29" s="28"/>
      <c r="M29" s="28"/>
      <c r="N29" s="28"/>
      <c r="O29" s="28"/>
    </row>
    <row r="30" spans="1:63" x14ac:dyDescent="0.25">
      <c r="P30" s="71"/>
    </row>
    <row r="31" spans="1:63" x14ac:dyDescent="0.25">
      <c r="P31" s="71"/>
    </row>
    <row r="32" spans="1:63" x14ac:dyDescent="0.25">
      <c r="A32" s="71"/>
      <c r="B32" s="61" t="s">
        <v>480</v>
      </c>
      <c r="C32" s="71"/>
      <c r="D32" s="71"/>
      <c r="E32" s="71"/>
      <c r="F32" s="71"/>
      <c r="G32" s="71"/>
      <c r="H32" s="71"/>
      <c r="I32" s="71"/>
      <c r="J32" s="71"/>
      <c r="K32" s="71"/>
      <c r="L32" s="71"/>
      <c r="M32" s="71"/>
      <c r="N32" s="71"/>
      <c r="O32" s="71"/>
      <c r="P32" s="71"/>
    </row>
    <row r="33" spans="1:16" x14ac:dyDescent="0.25">
      <c r="A33" s="71"/>
      <c r="B33" s="122" t="s">
        <v>488</v>
      </c>
      <c r="C33" s="122"/>
      <c r="D33" s="122"/>
      <c r="E33" s="69"/>
      <c r="F33" s="52" t="s">
        <v>487</v>
      </c>
      <c r="G33" s="69"/>
      <c r="H33" s="69"/>
      <c r="I33" s="69"/>
      <c r="J33" s="108"/>
      <c r="K33" s="122"/>
      <c r="L33" s="122" t="s">
        <v>137</v>
      </c>
      <c r="M33" s="122"/>
      <c r="N33" s="188" t="s">
        <v>138</v>
      </c>
      <c r="O33" s="122"/>
      <c r="P33" s="71"/>
    </row>
    <row r="34" spans="1:16" x14ac:dyDescent="0.25">
      <c r="A34" s="71"/>
      <c r="B34" s="123" t="s">
        <v>646</v>
      </c>
      <c r="C34" s="122"/>
      <c r="D34" s="122"/>
      <c r="E34" s="83" t="s">
        <v>616</v>
      </c>
      <c r="F34" s="83" t="s">
        <v>616</v>
      </c>
      <c r="G34" s="83" t="s">
        <v>616</v>
      </c>
      <c r="H34" s="83" t="s">
        <v>616</v>
      </c>
      <c r="I34" s="83" t="s">
        <v>616</v>
      </c>
      <c r="J34" s="83" t="s">
        <v>616</v>
      </c>
      <c r="K34" s="83" t="s">
        <v>616</v>
      </c>
      <c r="L34" s="121"/>
      <c r="M34" s="121"/>
      <c r="N34" s="189" t="s">
        <v>606</v>
      </c>
      <c r="O34" s="121"/>
      <c r="P34" s="71"/>
    </row>
    <row r="35" spans="1:16" x14ac:dyDescent="0.25">
      <c r="B35" s="123" t="s">
        <v>645</v>
      </c>
      <c r="C35" s="123"/>
      <c r="D35" s="123" t="s">
        <v>491</v>
      </c>
      <c r="E35" s="83" t="s">
        <v>616</v>
      </c>
      <c r="F35" s="83" t="s">
        <v>616</v>
      </c>
      <c r="G35" s="83" t="s">
        <v>616</v>
      </c>
      <c r="H35" s="83" t="s">
        <v>616</v>
      </c>
      <c r="I35" s="83" t="s">
        <v>616</v>
      </c>
      <c r="J35" s="83" t="s">
        <v>616</v>
      </c>
      <c r="K35" s="83" t="s">
        <v>616</v>
      </c>
      <c r="L35" s="121" t="s">
        <v>642</v>
      </c>
      <c r="M35" s="121"/>
      <c r="N35" s="189"/>
      <c r="O35" s="121"/>
      <c r="P35" s="71"/>
    </row>
    <row r="36" spans="1:16" x14ac:dyDescent="0.25">
      <c r="B36" s="123" t="s">
        <v>81</v>
      </c>
      <c r="C36" s="123"/>
      <c r="D36" s="123" t="s">
        <v>470</v>
      </c>
      <c r="E36" s="70"/>
      <c r="F36" s="70"/>
      <c r="G36" s="70"/>
      <c r="H36" s="70"/>
      <c r="I36" s="70"/>
      <c r="J36" s="109"/>
      <c r="K36" s="70"/>
      <c r="L36" s="121" t="s">
        <v>82</v>
      </c>
      <c r="M36" s="121"/>
      <c r="N36" s="189" t="s">
        <v>193</v>
      </c>
      <c r="O36" s="121"/>
      <c r="P36" s="71"/>
    </row>
    <row r="37" spans="1:16" x14ac:dyDescent="0.25">
      <c r="B37" s="123" t="s">
        <v>104</v>
      </c>
      <c r="C37" s="123"/>
      <c r="D37" s="123" t="s">
        <v>470</v>
      </c>
      <c r="E37" s="70" t="s">
        <v>477</v>
      </c>
      <c r="F37" s="83" t="s">
        <v>616</v>
      </c>
      <c r="G37" s="70">
        <v>0</v>
      </c>
      <c r="H37" s="83" t="s">
        <v>616</v>
      </c>
      <c r="I37" s="83" t="s">
        <v>616</v>
      </c>
      <c r="J37" s="83" t="s">
        <v>616</v>
      </c>
      <c r="K37" s="83" t="s">
        <v>616</v>
      </c>
      <c r="L37" s="121" t="s">
        <v>83</v>
      </c>
      <c r="M37" s="121"/>
      <c r="N37" s="189"/>
      <c r="O37" s="121"/>
      <c r="P37" s="71"/>
    </row>
    <row r="38" spans="1:16" x14ac:dyDescent="0.25">
      <c r="B38" s="123" t="s">
        <v>105</v>
      </c>
      <c r="C38" s="123"/>
      <c r="D38" s="123" t="s">
        <v>470</v>
      </c>
      <c r="E38" s="70" t="s">
        <v>477</v>
      </c>
      <c r="F38" s="83" t="s">
        <v>616</v>
      </c>
      <c r="G38" s="70">
        <v>0</v>
      </c>
      <c r="H38" s="83" t="s">
        <v>616</v>
      </c>
      <c r="I38" s="83" t="s">
        <v>616</v>
      </c>
      <c r="J38" s="83" t="s">
        <v>616</v>
      </c>
      <c r="K38" s="83" t="s">
        <v>616</v>
      </c>
      <c r="L38" s="121" t="s">
        <v>84</v>
      </c>
      <c r="M38" s="121"/>
      <c r="N38" s="189"/>
      <c r="O38" s="121"/>
      <c r="P38" s="71"/>
    </row>
    <row r="39" spans="1:16" x14ac:dyDescent="0.25">
      <c r="B39" s="123" t="s">
        <v>106</v>
      </c>
      <c r="C39" s="123"/>
      <c r="D39" s="123" t="s">
        <v>470</v>
      </c>
      <c r="E39" s="70" t="s">
        <v>477</v>
      </c>
      <c r="F39" s="83" t="s">
        <v>616</v>
      </c>
      <c r="G39" s="70">
        <v>0</v>
      </c>
      <c r="H39" s="83" t="s">
        <v>616</v>
      </c>
      <c r="I39" s="83" t="s">
        <v>616</v>
      </c>
      <c r="J39" s="83" t="s">
        <v>616</v>
      </c>
      <c r="K39" s="83" t="s">
        <v>616</v>
      </c>
      <c r="L39" s="121" t="s">
        <v>433</v>
      </c>
      <c r="M39" s="121"/>
      <c r="N39" s="189"/>
      <c r="O39" s="121"/>
      <c r="P39" s="71"/>
    </row>
    <row r="40" spans="1:16" x14ac:dyDescent="0.25">
      <c r="B40" s="123" t="s">
        <v>85</v>
      </c>
      <c r="C40" s="123"/>
      <c r="D40" s="123" t="s">
        <v>470</v>
      </c>
      <c r="E40" s="83" t="s">
        <v>616</v>
      </c>
      <c r="F40" s="83" t="s">
        <v>616</v>
      </c>
      <c r="G40" s="83" t="s">
        <v>616</v>
      </c>
      <c r="H40" s="83" t="s">
        <v>616</v>
      </c>
      <c r="I40" s="83" t="s">
        <v>616</v>
      </c>
      <c r="J40" s="83" t="s">
        <v>616</v>
      </c>
      <c r="K40" s="83" t="s">
        <v>616</v>
      </c>
      <c r="L40" s="121" t="s">
        <v>88</v>
      </c>
      <c r="M40" s="121"/>
      <c r="N40" s="189" t="s">
        <v>194</v>
      </c>
      <c r="O40" s="121"/>
      <c r="P40" s="71"/>
    </row>
    <row r="41" spans="1:16" x14ac:dyDescent="0.25">
      <c r="B41" s="123" t="s">
        <v>86</v>
      </c>
      <c r="C41" s="123"/>
      <c r="D41" s="123" t="s">
        <v>470</v>
      </c>
      <c r="E41" s="83" t="s">
        <v>616</v>
      </c>
      <c r="F41" s="199" t="s">
        <v>616</v>
      </c>
      <c r="G41" s="199" t="s">
        <v>616</v>
      </c>
      <c r="H41" s="199" t="s">
        <v>616</v>
      </c>
      <c r="I41" s="199" t="s">
        <v>616</v>
      </c>
      <c r="J41" s="199" t="s">
        <v>616</v>
      </c>
      <c r="K41" s="199" t="s">
        <v>616</v>
      </c>
      <c r="L41" s="121" t="s">
        <v>87</v>
      </c>
      <c r="M41" s="121"/>
      <c r="N41" s="191"/>
      <c r="O41" s="121"/>
      <c r="P41" s="71"/>
    </row>
    <row r="42" spans="1:16" x14ac:dyDescent="0.25">
      <c r="B42" s="121" t="s">
        <v>1224</v>
      </c>
      <c r="C42" s="123"/>
      <c r="D42" s="123" t="s">
        <v>490</v>
      </c>
      <c r="E42" s="70" t="s">
        <v>477</v>
      </c>
      <c r="F42" s="54">
        <v>0</v>
      </c>
      <c r="G42" s="54">
        <v>0</v>
      </c>
      <c r="H42" s="54"/>
      <c r="I42" s="109">
        <v>0.69999</v>
      </c>
      <c r="J42" s="54">
        <v>0.69999</v>
      </c>
      <c r="K42" s="109"/>
      <c r="L42" s="121" t="s">
        <v>649</v>
      </c>
      <c r="M42" s="121"/>
      <c r="N42" s="189"/>
      <c r="O42" s="121"/>
      <c r="P42" s="71"/>
    </row>
    <row r="43" spans="1:16" x14ac:dyDescent="0.25">
      <c r="B43" s="123" t="s">
        <v>486</v>
      </c>
      <c r="C43" s="123"/>
      <c r="D43" s="123" t="s">
        <v>489</v>
      </c>
      <c r="E43" s="70" t="s">
        <v>477</v>
      </c>
      <c r="F43" s="109"/>
      <c r="G43" s="157">
        <v>50</v>
      </c>
      <c r="H43" s="109"/>
      <c r="I43" s="109"/>
      <c r="J43" s="109"/>
      <c r="K43" s="109"/>
      <c r="L43" s="121" t="s">
        <v>500</v>
      </c>
      <c r="M43" s="121"/>
      <c r="N43" s="189"/>
      <c r="O43" s="121"/>
    </row>
    <row r="44" spans="1:16" x14ac:dyDescent="0.25">
      <c r="B44" s="121" t="s">
        <v>1225</v>
      </c>
      <c r="C44" s="123"/>
      <c r="D44" s="123" t="s">
        <v>489</v>
      </c>
      <c r="E44" s="70" t="s">
        <v>476</v>
      </c>
      <c r="F44" s="109"/>
      <c r="G44" s="54">
        <v>0</v>
      </c>
      <c r="H44" s="54">
        <v>0.95001000000000002</v>
      </c>
      <c r="I44" s="109">
        <v>1</v>
      </c>
      <c r="J44" s="109">
        <v>0.95001000000000002</v>
      </c>
      <c r="K44" s="109"/>
      <c r="L44" s="121" t="s">
        <v>650</v>
      </c>
      <c r="M44" s="121"/>
      <c r="N44" s="189"/>
      <c r="O44" s="121"/>
    </row>
    <row r="45" spans="1:16" x14ac:dyDescent="0.25">
      <c r="B45" s="123" t="s">
        <v>103</v>
      </c>
      <c r="C45" s="123"/>
      <c r="D45" s="123" t="s">
        <v>489</v>
      </c>
      <c r="E45" s="70" t="s">
        <v>477</v>
      </c>
      <c r="F45" s="54">
        <v>0</v>
      </c>
      <c r="G45" s="54">
        <v>0</v>
      </c>
      <c r="H45" s="54"/>
      <c r="I45" s="109">
        <v>0.59999000000000002</v>
      </c>
      <c r="J45" s="201">
        <v>0.59999000000000002</v>
      </c>
      <c r="K45" s="109"/>
      <c r="L45" s="121" t="s">
        <v>643</v>
      </c>
      <c r="M45" s="121"/>
      <c r="N45" s="189"/>
      <c r="O45" s="121"/>
    </row>
    <row r="46" spans="1:16" x14ac:dyDescent="0.25">
      <c r="F46" s="119"/>
      <c r="G46" s="114"/>
      <c r="I46" s="28"/>
      <c r="P46" s="71"/>
    </row>
    <row r="47" spans="1:16" x14ac:dyDescent="0.25">
      <c r="P47" s="71"/>
    </row>
    <row r="49" spans="2:15" hidden="1" x14ac:dyDescent="0.25">
      <c r="B49" s="123" t="s">
        <v>485</v>
      </c>
      <c r="C49" s="123"/>
      <c r="D49" s="123" t="s">
        <v>470</v>
      </c>
      <c r="E49" s="70" t="s">
        <v>476</v>
      </c>
      <c r="F49" s="53">
        <v>0</v>
      </c>
      <c r="G49" s="53">
        <v>0</v>
      </c>
      <c r="H49" s="54"/>
      <c r="I49" s="70"/>
      <c r="J49" s="109">
        <v>1</v>
      </c>
      <c r="K49" s="70"/>
      <c r="L49" s="121"/>
      <c r="M49" s="121"/>
      <c r="N49" s="121"/>
      <c r="O49" s="121"/>
    </row>
    <row r="50" spans="2:15" hidden="1" x14ac:dyDescent="0.25">
      <c r="B50" s="83" t="s">
        <v>616</v>
      </c>
      <c r="C50" s="123"/>
      <c r="D50" s="123"/>
      <c r="E50" s="83" t="s">
        <v>616</v>
      </c>
      <c r="F50" s="83" t="s">
        <v>616</v>
      </c>
      <c r="G50" s="83" t="s">
        <v>616</v>
      </c>
      <c r="H50" s="83" t="s">
        <v>616</v>
      </c>
      <c r="I50" s="83" t="s">
        <v>616</v>
      </c>
      <c r="J50" s="83" t="s">
        <v>616</v>
      </c>
      <c r="K50" s="83" t="s">
        <v>616</v>
      </c>
      <c r="L50" s="121"/>
      <c r="M50" s="121"/>
      <c r="N50" s="190" t="s">
        <v>654</v>
      </c>
      <c r="O50" s="121"/>
    </row>
  </sheetData>
  <mergeCells count="4">
    <mergeCell ref="D13:D14"/>
    <mergeCell ref="B13:B14"/>
    <mergeCell ref="C13:C14"/>
    <mergeCell ref="E13:E14"/>
  </mergeCells>
  <phoneticPr fontId="34" type="noConversion"/>
  <pageMargins left="0.31496062992125984" right="0.11811023622047245" top="0.39370078740157483" bottom="0.39370078740157483" header="0.31496062992125984" footer="0.31496062992125984"/>
  <pageSetup paperSize="9" orientation="landscape" r:id="rId1"/>
  <ignoredErrors>
    <ignoredError sqref="C22 C23 C24 E18" formula="1"/>
    <ignoredError sqref="C15" evalError="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N25"/>
  <sheetViews>
    <sheetView showGridLines="0" zoomScaleNormal="100" zoomScaleSheetLayoutView="100" workbookViewId="0">
      <selection activeCell="C17" sqref="C17:G17"/>
    </sheetView>
  </sheetViews>
  <sheetFormatPr baseColWidth="10" defaultColWidth="9" defaultRowHeight="14.25" x14ac:dyDescent="0.2"/>
  <cols>
    <col min="1" max="1" width="18" style="1" customWidth="1"/>
    <col min="2" max="2" width="23.5703125" style="1" customWidth="1"/>
    <col min="3" max="3" width="22.5703125" style="1" customWidth="1"/>
    <col min="4" max="4" width="23.85546875" style="1" customWidth="1"/>
    <col min="5" max="5" width="22.140625" style="1" customWidth="1"/>
    <col min="6" max="6" width="21" style="1" customWidth="1"/>
    <col min="7" max="7" width="8.140625" style="1" customWidth="1"/>
    <col min="8" max="8" width="11.42578125" style="1" customWidth="1"/>
    <col min="9" max="9" width="14.140625" style="1" hidden="1" customWidth="1"/>
    <col min="10" max="182" width="11.42578125" style="1" customWidth="1"/>
    <col min="183" max="16384" width="9" style="1"/>
  </cols>
  <sheetData>
    <row r="1" spans="1:14" ht="9.9499999999999993" customHeight="1" x14ac:dyDescent="0.2">
      <c r="B1" s="25"/>
      <c r="E1" s="12"/>
    </row>
    <row r="2" spans="1:14" ht="12.95" customHeight="1" x14ac:dyDescent="0.2">
      <c r="A2" s="19" t="s">
        <v>1228</v>
      </c>
      <c r="E2" s="12"/>
    </row>
    <row r="3" spans="1:14" ht="16.5" x14ac:dyDescent="0.25">
      <c r="A3" s="15" t="s">
        <v>640</v>
      </c>
      <c r="E3" s="12"/>
      <c r="F3" s="13"/>
    </row>
    <row r="4" spans="1:14" ht="16.5" x14ac:dyDescent="0.25">
      <c r="A4" s="15"/>
      <c r="J4" s="16"/>
    </row>
    <row r="5" spans="1:14" ht="15" customHeight="1" x14ac:dyDescent="0.2">
      <c r="D5" s="7"/>
      <c r="E5" s="7"/>
      <c r="F5" s="7"/>
      <c r="G5" s="7"/>
      <c r="H5" s="7"/>
      <c r="I5" s="7"/>
      <c r="J5" s="16"/>
    </row>
    <row r="6" spans="1:14" s="19" customFormat="1" ht="15" customHeight="1" x14ac:dyDescent="0.2">
      <c r="A6" s="22" t="s">
        <v>504</v>
      </c>
      <c r="B6" s="870" t="str">
        <f>IF(Basisdaten!C8=0,"",Basisdaten!C8)</f>
        <v/>
      </c>
      <c r="C6" s="871"/>
      <c r="D6" s="871"/>
      <c r="E6" s="871"/>
      <c r="F6" s="872"/>
      <c r="G6" s="7"/>
      <c r="H6" s="7"/>
      <c r="J6" s="16"/>
      <c r="K6" s="16"/>
      <c r="L6" s="14"/>
      <c r="M6" s="16"/>
      <c r="N6" s="16"/>
    </row>
    <row r="7" spans="1:14" s="19" customFormat="1" ht="6.95" customHeight="1" x14ac:dyDescent="0.2">
      <c r="A7" s="4"/>
      <c r="B7" s="7"/>
      <c r="D7" s="7"/>
      <c r="E7" s="7"/>
      <c r="F7" s="7"/>
      <c r="G7" s="7"/>
      <c r="H7" s="7"/>
      <c r="J7" s="16"/>
      <c r="K7" s="16"/>
      <c r="L7" s="14"/>
      <c r="M7" s="16"/>
      <c r="N7" s="16"/>
    </row>
    <row r="8" spans="1:14" s="19" customFormat="1" ht="15" customHeight="1" x14ac:dyDescent="0.2">
      <c r="A8" s="22" t="s">
        <v>442</v>
      </c>
      <c r="B8" s="32" t="str">
        <f>IF(Basisdaten!C6=0,"",Basisdaten!C6)</f>
        <v/>
      </c>
      <c r="D8" s="16"/>
      <c r="E8" s="2" t="s">
        <v>439</v>
      </c>
      <c r="F8" s="31" t="str">
        <f>IF(Basisdaten!K12=0,"",Basisdaten!K12)</f>
        <v/>
      </c>
      <c r="H8" s="1"/>
      <c r="J8" s="16"/>
      <c r="K8" s="16"/>
      <c r="L8" s="14"/>
      <c r="M8" s="16"/>
      <c r="N8" s="16"/>
    </row>
    <row r="9" spans="1:14" s="19" customFormat="1" ht="8.25" customHeight="1" x14ac:dyDescent="0.2">
      <c r="B9" s="21"/>
      <c r="C9" s="1"/>
      <c r="E9" s="1"/>
      <c r="I9" s="9"/>
      <c r="J9" s="17"/>
      <c r="K9" s="17"/>
      <c r="L9" s="17"/>
      <c r="M9" s="17"/>
      <c r="N9" s="17"/>
    </row>
    <row r="10" spans="1:14" ht="6.75" customHeight="1" x14ac:dyDescent="0.2">
      <c r="I10" s="10"/>
      <c r="J10" s="26"/>
      <c r="K10" s="26"/>
      <c r="L10" s="26"/>
      <c r="M10" s="26"/>
      <c r="N10" s="26"/>
    </row>
    <row r="11" spans="1:14" ht="16.5" customHeight="1" x14ac:dyDescent="0.2">
      <c r="A11" s="168" t="s">
        <v>472</v>
      </c>
    </row>
    <row r="12" spans="1:14" ht="13.5" customHeight="1" x14ac:dyDescent="0.2">
      <c r="A12" s="929" t="str">
        <f>IF(OR(A13="",A13="Matrix kann eingereicht werden"),"In Ordnung",IF(A13="die inkorrekten und unvollständigen Einträge beheben","Nicht in Ordnung"))</f>
        <v>In Ordnung</v>
      </c>
      <c r="B12" s="930"/>
      <c r="C12" s="33" t="s">
        <v>440</v>
      </c>
      <c r="D12" s="34" t="s">
        <v>277</v>
      </c>
      <c r="E12" s="38" t="s">
        <v>461</v>
      </c>
      <c r="F12" s="39" t="s">
        <v>670</v>
      </c>
      <c r="I12" s="931" t="s">
        <v>463</v>
      </c>
    </row>
    <row r="13" spans="1:14" ht="16.5" customHeight="1" x14ac:dyDescent="0.2">
      <c r="A13" s="880" t="str">
        <f>Berechnung2!B5</f>
        <v/>
      </c>
      <c r="B13" s="882"/>
      <c r="C13" s="43">
        <f>Berechnung2!C5</f>
        <v>0</v>
      </c>
      <c r="D13" s="44">
        <f>Berechnung2!D5</f>
        <v>0</v>
      </c>
      <c r="E13" s="56">
        <f>Berechnung2!E5</f>
        <v>0</v>
      </c>
      <c r="F13" s="57">
        <f>Berechnung2!F5</f>
        <v>0</v>
      </c>
      <c r="I13" s="931"/>
    </row>
    <row r="14" spans="1:14" s="19" customFormat="1" ht="20.25" customHeight="1" x14ac:dyDescent="0.2">
      <c r="B14" s="8"/>
      <c r="C14" s="8"/>
    </row>
    <row r="15" spans="1:14" ht="15.75" customHeight="1" x14ac:dyDescent="0.2">
      <c r="A15" s="922" t="s">
        <v>493</v>
      </c>
      <c r="B15" s="924" t="s">
        <v>373</v>
      </c>
      <c r="C15" s="583" t="s">
        <v>4</v>
      </c>
      <c r="D15" s="925"/>
      <c r="E15" s="925"/>
      <c r="F15" s="925"/>
      <c r="G15" s="809"/>
    </row>
    <row r="16" spans="1:14" ht="11.25" customHeight="1" x14ac:dyDescent="0.2">
      <c r="A16" s="923"/>
      <c r="B16" s="923"/>
      <c r="C16" s="925"/>
      <c r="D16" s="925"/>
      <c r="E16" s="925"/>
      <c r="F16" s="925"/>
      <c r="G16" s="809"/>
    </row>
    <row r="17" spans="1:7" ht="61.5" customHeight="1" x14ac:dyDescent="0.25">
      <c r="A17" s="27" t="str">
        <f>IF(ISERROR(Berechnung2!G15),"",Berechnung2!G15)</f>
        <v/>
      </c>
      <c r="B17" s="27" t="str">
        <f>IF(ISERROR(Berechnung2!H15),"",Berechnung2!H15)</f>
        <v/>
      </c>
      <c r="C17" s="926"/>
      <c r="D17" s="927"/>
      <c r="E17" s="927"/>
      <c r="F17" s="927"/>
      <c r="G17" s="928"/>
    </row>
    <row r="18" spans="1:7" ht="61.5" customHeight="1" x14ac:dyDescent="0.25">
      <c r="A18" s="27" t="str">
        <f>IF(ISERROR(Berechnung2!G16),"",Berechnung2!G16)</f>
        <v/>
      </c>
      <c r="B18" s="27" t="str">
        <f>IF(ISERROR(Berechnung2!H16),"",Berechnung2!H16)</f>
        <v/>
      </c>
      <c r="C18" s="926"/>
      <c r="D18" s="927"/>
      <c r="E18" s="927"/>
      <c r="F18" s="927"/>
      <c r="G18" s="928"/>
    </row>
    <row r="19" spans="1:7" ht="61.5" customHeight="1" x14ac:dyDescent="0.25">
      <c r="A19" s="27" t="str">
        <f>IF(ISERROR(Berechnung2!G17),"",Berechnung2!G17)</f>
        <v/>
      </c>
      <c r="B19" s="27" t="str">
        <f>IF(ISERROR(Berechnung2!H17),"",Berechnung2!H17)</f>
        <v/>
      </c>
      <c r="C19" s="926"/>
      <c r="D19" s="927"/>
      <c r="E19" s="927"/>
      <c r="F19" s="927"/>
      <c r="G19" s="928"/>
    </row>
    <row r="20" spans="1:7" ht="61.5" customHeight="1" x14ac:dyDescent="0.25">
      <c r="A20" s="27" t="str">
        <f>IF(ISERROR(Berechnung2!G18),"",Berechnung2!G18)</f>
        <v/>
      </c>
      <c r="B20" s="27" t="str">
        <f>IF(ISERROR(Berechnung2!H18),"",Berechnung2!H18)</f>
        <v/>
      </c>
      <c r="C20" s="926"/>
      <c r="D20" s="927"/>
      <c r="E20" s="927"/>
      <c r="F20" s="927"/>
      <c r="G20" s="928"/>
    </row>
    <row r="21" spans="1:7" ht="61.5" customHeight="1" x14ac:dyDescent="0.25">
      <c r="A21" s="27" t="str">
        <f>IF(ISERROR(Berechnung2!G19),"",Berechnung2!G19)</f>
        <v/>
      </c>
      <c r="B21" s="27" t="str">
        <f>IF(ISERROR(Berechnung2!H19),"",Berechnung2!H19)</f>
        <v/>
      </c>
      <c r="C21" s="926"/>
      <c r="D21" s="927"/>
      <c r="E21" s="927"/>
      <c r="F21" s="927"/>
      <c r="G21" s="928"/>
    </row>
    <row r="22" spans="1:7" ht="61.5" customHeight="1" x14ac:dyDescent="0.25">
      <c r="A22" s="27" t="str">
        <f>IF(ISERROR(Berechnung2!G20),"",Berechnung2!G20)</f>
        <v/>
      </c>
      <c r="B22" s="27" t="str">
        <f>IF(ISERROR(Berechnung2!H20),"",Berechnung2!H20)</f>
        <v/>
      </c>
      <c r="C22" s="926"/>
      <c r="D22" s="927"/>
      <c r="E22" s="927"/>
      <c r="F22" s="927"/>
      <c r="G22" s="928"/>
    </row>
    <row r="23" spans="1:7" ht="61.5" customHeight="1" x14ac:dyDescent="0.25">
      <c r="A23" s="27" t="str">
        <f>IF(ISERROR(Berechnung2!G21),"",Berechnung2!G21)</f>
        <v/>
      </c>
      <c r="B23" s="27" t="str">
        <f>IF(ISERROR(Berechnung2!H21),"",Berechnung2!H21)</f>
        <v/>
      </c>
      <c r="C23" s="926"/>
      <c r="D23" s="927"/>
      <c r="E23" s="927"/>
      <c r="F23" s="927"/>
      <c r="G23" s="928"/>
    </row>
    <row r="24" spans="1:7" ht="61.5" customHeight="1" x14ac:dyDescent="0.25">
      <c r="A24" s="27" t="str">
        <f>IF(ISERROR(Berechnung2!G22),"",Berechnung2!G22)</f>
        <v/>
      </c>
      <c r="B24" s="27" t="str">
        <f>IF(ISERROR(Berechnung2!H22),"",Berechnung2!H22)</f>
        <v/>
      </c>
      <c r="C24" s="926"/>
      <c r="D24" s="927"/>
      <c r="E24" s="927"/>
      <c r="F24" s="927"/>
      <c r="G24" s="928"/>
    </row>
    <row r="25" spans="1:7" ht="61.5" customHeight="1" x14ac:dyDescent="0.25">
      <c r="A25" s="27" t="str">
        <f>IF(ISERROR(Berechnung2!G23),"",Berechnung2!G23)</f>
        <v/>
      </c>
      <c r="B25" s="27" t="str">
        <f>IF(ISERROR(Berechnung2!H23),"",Berechnung2!H23)</f>
        <v/>
      </c>
      <c r="C25" s="926"/>
      <c r="D25" s="927"/>
      <c r="E25" s="927"/>
      <c r="F25" s="927"/>
      <c r="G25" s="928"/>
    </row>
  </sheetData>
  <sheetProtection algorithmName="SHA-512" hashValue="/W2mjkfj4ACAmOJ/FQx2DzEQ6ngXN5T3/TbHeu2oSIgRYi/zFwCD25oorxwwtEZiPMCZ6BSDO/YLuomqjsLJkQ==" saltValue="8ZG0vZPEEOf0LFN7/y1m0A==" spinCount="100000" sheet="1" objects="1" scenarios="1" selectLockedCells="1"/>
  <mergeCells count="16">
    <mergeCell ref="I12:I13"/>
    <mergeCell ref="C25:G25"/>
    <mergeCell ref="C20:G20"/>
    <mergeCell ref="C18:G18"/>
    <mergeCell ref="C19:G19"/>
    <mergeCell ref="C21:G21"/>
    <mergeCell ref="C22:G22"/>
    <mergeCell ref="C23:G23"/>
    <mergeCell ref="C24:G24"/>
    <mergeCell ref="A15:A16"/>
    <mergeCell ref="B15:B16"/>
    <mergeCell ref="C15:G16"/>
    <mergeCell ref="C17:G17"/>
    <mergeCell ref="B6:F6"/>
    <mergeCell ref="A12:B12"/>
    <mergeCell ref="A13:B13"/>
  </mergeCells>
  <phoneticPr fontId="34" type="noConversion"/>
  <conditionalFormatting sqref="A12">
    <cfRule type="expression" dxfId="7" priority="2" stopIfTrue="1">
      <formula>$A$12="Nicht in Ordnung"</formula>
    </cfRule>
  </conditionalFormatting>
  <conditionalFormatting sqref="A13">
    <cfRule type="expression" dxfId="6" priority="1" stopIfTrue="1">
      <formula>$A$13="die inkorrekten und unvollständigen Einträge beheben"</formula>
    </cfRule>
  </conditionalFormatting>
  <conditionalFormatting sqref="B17:B25">
    <cfRule type="expression" dxfId="5" priority="2464" stopIfTrue="1">
      <formula>SEARCH("Unvollständig",$B17,1)</formula>
    </cfRule>
    <cfRule type="expression" dxfId="4" priority="2474" stopIfTrue="1">
      <formula>SEARCH($D$12,$B17,1)</formula>
    </cfRule>
    <cfRule type="expression" dxfId="3" priority="2475" stopIfTrue="1">
      <formula>SEARCH($C$12,$B17,1)</formula>
    </cfRule>
    <cfRule type="expression" dxfId="2" priority="2476" stopIfTrue="1">
      <formula>SEARCH($E$12,$B17,1)</formula>
    </cfRule>
  </conditionalFormatting>
  <conditionalFormatting sqref="C17:C25">
    <cfRule type="notContainsBlanks" dxfId="1" priority="7" stopIfTrue="1">
      <formula>LEN(TRIM(C17))&gt;0</formula>
    </cfRule>
    <cfRule type="expression" dxfId="0" priority="8" stopIfTrue="1">
      <formula>A17&lt;&gt;""</formula>
    </cfRule>
  </conditionalFormatting>
  <dataValidations count="2">
    <dataValidation type="textLength" allowBlank="1" showInputMessage="1" showErrorMessage="1" errorTitle="Zeichenlänge" error="Minimal 30 Zeichen und max. 200 Zeichen." sqref="C18:F25">
      <formula1>30</formula1>
      <formula2>200</formula2>
    </dataValidation>
    <dataValidation type="textLength" allowBlank="1" showInputMessage="1" showErrorMessage="1" errorTitle="Zeichenlänge" error="Minimal 30 Zeichen und max. 450 Zeichen." sqref="C17:G17">
      <formula1>30</formula1>
      <formula2>450</formula2>
    </dataValidation>
  </dataValidations>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D111"/>
  <sheetViews>
    <sheetView workbookViewId="0">
      <selection activeCell="A2" sqref="A2"/>
    </sheetView>
  </sheetViews>
  <sheetFormatPr baseColWidth="10" defaultColWidth="11.42578125" defaultRowHeight="12" x14ac:dyDescent="0.2"/>
  <cols>
    <col min="1" max="1" width="19.85546875" style="136" customWidth="1"/>
    <col min="2" max="2" width="21.140625" style="136" customWidth="1"/>
    <col min="3" max="3" width="68.5703125" style="75" customWidth="1"/>
    <col min="4" max="4" width="62.42578125" style="75" customWidth="1"/>
    <col min="5" max="256" width="9.140625" style="75" customWidth="1"/>
    <col min="257" max="16384" width="11.42578125" style="75"/>
  </cols>
  <sheetData>
    <row r="1" spans="1:4" ht="24" x14ac:dyDescent="0.2">
      <c r="A1" s="137" t="s">
        <v>493</v>
      </c>
      <c r="B1" s="138" t="s">
        <v>40</v>
      </c>
      <c r="C1" s="138" t="s">
        <v>373</v>
      </c>
      <c r="D1" s="137" t="s">
        <v>4</v>
      </c>
    </row>
    <row r="2" spans="1:4" x14ac:dyDescent="0.2">
      <c r="A2" s="136" t="str">
        <f ca="1">Berechnung3!L2</f>
        <v/>
      </c>
      <c r="B2" s="136" t="str">
        <f ca="1">Berechnung3!N2</f>
        <v/>
      </c>
      <c r="C2" s="75" t="str">
        <f ca="1">Berechnung3!O2</f>
        <v/>
      </c>
      <c r="D2" s="75" t="str">
        <f ca="1">Berechnung3!P2</f>
        <v/>
      </c>
    </row>
    <row r="3" spans="1:4" x14ac:dyDescent="0.2">
      <c r="A3" s="136" t="str">
        <f ca="1">Berechnung3!L3</f>
        <v/>
      </c>
      <c r="B3" s="136" t="str">
        <f ca="1">Berechnung3!N3</f>
        <v/>
      </c>
      <c r="C3" s="75" t="str">
        <f ca="1">Berechnung3!O3</f>
        <v/>
      </c>
      <c r="D3" s="75" t="str">
        <f ca="1">Berechnung3!P3</f>
        <v/>
      </c>
    </row>
    <row r="4" spans="1:4" x14ac:dyDescent="0.2">
      <c r="A4" s="136" t="str">
        <f ca="1">Berechnung3!L4</f>
        <v/>
      </c>
      <c r="B4" s="136" t="str">
        <f ca="1">Berechnung3!N4</f>
        <v/>
      </c>
      <c r="C4" s="75" t="str">
        <f ca="1">Berechnung3!O4</f>
        <v/>
      </c>
      <c r="D4" s="75" t="str">
        <f ca="1">Berechnung3!P4</f>
        <v/>
      </c>
    </row>
    <row r="5" spans="1:4" x14ac:dyDescent="0.2">
      <c r="A5" s="136" t="str">
        <f ca="1">Berechnung3!L5</f>
        <v/>
      </c>
      <c r="B5" s="136" t="str">
        <f ca="1">Berechnung3!N5</f>
        <v/>
      </c>
      <c r="C5" s="75" t="str">
        <f ca="1">Berechnung3!O5</f>
        <v/>
      </c>
      <c r="D5" s="75" t="str">
        <f ca="1">Berechnung3!P5</f>
        <v/>
      </c>
    </row>
    <row r="6" spans="1:4" x14ac:dyDescent="0.2">
      <c r="A6" s="136" t="str">
        <f ca="1">Berechnung3!L6</f>
        <v/>
      </c>
      <c r="B6" s="136" t="str">
        <f ca="1">Berechnung3!N6</f>
        <v/>
      </c>
      <c r="C6" s="75" t="str">
        <f ca="1">Berechnung3!O6</f>
        <v/>
      </c>
      <c r="D6" s="75" t="str">
        <f ca="1">Berechnung3!P6</f>
        <v/>
      </c>
    </row>
    <row r="7" spans="1:4" x14ac:dyDescent="0.2">
      <c r="A7" s="136" t="str">
        <f ca="1">Berechnung3!L7</f>
        <v/>
      </c>
      <c r="B7" s="136" t="str">
        <f ca="1">Berechnung3!N7</f>
        <v/>
      </c>
      <c r="C7" s="75" t="str">
        <f ca="1">Berechnung3!O7</f>
        <v/>
      </c>
      <c r="D7" s="75" t="str">
        <f ca="1">Berechnung3!P7</f>
        <v/>
      </c>
    </row>
    <row r="8" spans="1:4" x14ac:dyDescent="0.2">
      <c r="A8" s="136" t="str">
        <f ca="1">Berechnung3!L8</f>
        <v/>
      </c>
      <c r="B8" s="136" t="str">
        <f ca="1">Berechnung3!N8</f>
        <v/>
      </c>
      <c r="C8" s="75" t="str">
        <f ca="1">Berechnung3!O8</f>
        <v/>
      </c>
      <c r="D8" s="75" t="str">
        <f ca="1">Berechnung3!P8</f>
        <v/>
      </c>
    </row>
    <row r="9" spans="1:4" x14ac:dyDescent="0.2">
      <c r="A9" s="136" t="str">
        <f ca="1">Berechnung3!L9</f>
        <v/>
      </c>
      <c r="B9" s="136" t="str">
        <f ca="1">Berechnung3!N9</f>
        <v/>
      </c>
      <c r="C9" s="75" t="str">
        <f ca="1">Berechnung3!O9</f>
        <v/>
      </c>
      <c r="D9" s="75" t="str">
        <f ca="1">Berechnung3!P9</f>
        <v/>
      </c>
    </row>
    <row r="10" spans="1:4" x14ac:dyDescent="0.2">
      <c r="A10" s="136" t="str">
        <f ca="1">Berechnung3!L10</f>
        <v/>
      </c>
      <c r="B10" s="136" t="str">
        <f ca="1">Berechnung3!N10</f>
        <v/>
      </c>
      <c r="C10" s="75" t="str">
        <f ca="1">Berechnung3!O10</f>
        <v/>
      </c>
      <c r="D10" s="75" t="str">
        <f ca="1">Berechnung3!P10</f>
        <v/>
      </c>
    </row>
    <row r="11" spans="1:4" x14ac:dyDescent="0.2">
      <c r="A11" s="136" t="str">
        <f ca="1">Berechnung3!L11</f>
        <v/>
      </c>
      <c r="B11" s="136" t="str">
        <f ca="1">Berechnung3!N11</f>
        <v/>
      </c>
      <c r="C11" s="75" t="str">
        <f ca="1">Berechnung3!O11</f>
        <v/>
      </c>
      <c r="D11" s="75" t="str">
        <f ca="1">Berechnung3!P11</f>
        <v/>
      </c>
    </row>
    <row r="12" spans="1:4" x14ac:dyDescent="0.2">
      <c r="A12" s="136" t="str">
        <f ca="1">Berechnung3!L12</f>
        <v/>
      </c>
      <c r="B12" s="136" t="str">
        <f ca="1">Berechnung3!N12</f>
        <v/>
      </c>
      <c r="C12" s="75" t="str">
        <f ca="1">Berechnung3!O12</f>
        <v/>
      </c>
      <c r="D12" s="75" t="str">
        <f ca="1">Berechnung3!P12</f>
        <v/>
      </c>
    </row>
    <row r="13" spans="1:4" x14ac:dyDescent="0.2">
      <c r="A13" s="136" t="str">
        <f ca="1">Berechnung3!L13</f>
        <v/>
      </c>
      <c r="B13" s="136" t="str">
        <f ca="1">Berechnung3!N13</f>
        <v/>
      </c>
      <c r="C13" s="75" t="str">
        <f ca="1">Berechnung3!O13</f>
        <v/>
      </c>
      <c r="D13" s="75" t="str">
        <f ca="1">Berechnung3!P13</f>
        <v/>
      </c>
    </row>
    <row r="14" spans="1:4" x14ac:dyDescent="0.2">
      <c r="A14" s="136" t="str">
        <f ca="1">Berechnung3!L14</f>
        <v/>
      </c>
      <c r="B14" s="136" t="str">
        <f ca="1">Berechnung3!N14</f>
        <v/>
      </c>
      <c r="C14" s="75" t="str">
        <f ca="1">Berechnung3!O14</f>
        <v/>
      </c>
      <c r="D14" s="75" t="str">
        <f ca="1">Berechnung3!P14</f>
        <v/>
      </c>
    </row>
    <row r="15" spans="1:4" x14ac:dyDescent="0.2">
      <c r="A15" s="136" t="str">
        <f ca="1">Berechnung3!L15</f>
        <v/>
      </c>
      <c r="B15" s="136" t="str">
        <f ca="1">Berechnung3!N15</f>
        <v/>
      </c>
      <c r="C15" s="75" t="str">
        <f ca="1">Berechnung3!O15</f>
        <v/>
      </c>
      <c r="D15" s="75" t="str">
        <f ca="1">Berechnung3!P15</f>
        <v/>
      </c>
    </row>
    <row r="16" spans="1:4" x14ac:dyDescent="0.2">
      <c r="A16" s="136" t="str">
        <f ca="1">Berechnung3!L16</f>
        <v/>
      </c>
      <c r="B16" s="136" t="str">
        <f ca="1">Berechnung3!N16</f>
        <v/>
      </c>
      <c r="C16" s="75" t="str">
        <f ca="1">Berechnung3!O16</f>
        <v/>
      </c>
      <c r="D16" s="75" t="str">
        <f ca="1">Berechnung3!P16</f>
        <v/>
      </c>
    </row>
    <row r="17" spans="1:4" x14ac:dyDescent="0.2">
      <c r="A17" s="136" t="str">
        <f ca="1">Berechnung3!L17</f>
        <v/>
      </c>
      <c r="B17" s="136" t="str">
        <f ca="1">Berechnung3!N17</f>
        <v/>
      </c>
      <c r="C17" s="75" t="str">
        <f ca="1">Berechnung3!O17</f>
        <v/>
      </c>
      <c r="D17" s="75" t="str">
        <f ca="1">Berechnung3!P17</f>
        <v/>
      </c>
    </row>
    <row r="18" spans="1:4" x14ac:dyDescent="0.2">
      <c r="A18" s="136" t="str">
        <f ca="1">Berechnung3!L18</f>
        <v/>
      </c>
      <c r="B18" s="136" t="str">
        <f ca="1">Berechnung3!N18</f>
        <v/>
      </c>
      <c r="C18" s="75" t="str">
        <f ca="1">Berechnung3!O18</f>
        <v/>
      </c>
      <c r="D18" s="75" t="str">
        <f ca="1">Berechnung3!P18</f>
        <v/>
      </c>
    </row>
    <row r="19" spans="1:4" x14ac:dyDescent="0.2">
      <c r="A19" s="136" t="str">
        <f ca="1">Berechnung3!L19</f>
        <v/>
      </c>
      <c r="B19" s="136" t="str">
        <f ca="1">Berechnung3!N19</f>
        <v/>
      </c>
      <c r="C19" s="75" t="str">
        <f ca="1">Berechnung3!O19</f>
        <v/>
      </c>
      <c r="D19" s="75" t="str">
        <f ca="1">Berechnung3!P19</f>
        <v/>
      </c>
    </row>
    <row r="20" spans="1:4" x14ac:dyDescent="0.2">
      <c r="A20" s="136" t="str">
        <f ca="1">Berechnung3!L20</f>
        <v/>
      </c>
      <c r="B20" s="136" t="str">
        <f ca="1">Berechnung3!N20</f>
        <v/>
      </c>
      <c r="C20" s="75" t="str">
        <f ca="1">Berechnung3!O20</f>
        <v/>
      </c>
      <c r="D20" s="75" t="str">
        <f ca="1">Berechnung3!P20</f>
        <v/>
      </c>
    </row>
    <row r="21" spans="1:4" x14ac:dyDescent="0.2">
      <c r="A21" s="136" t="str">
        <f ca="1">Berechnung3!L21</f>
        <v/>
      </c>
      <c r="B21" s="136" t="str">
        <f ca="1">Berechnung3!N21</f>
        <v/>
      </c>
      <c r="C21" s="75" t="str">
        <f ca="1">Berechnung3!O21</f>
        <v/>
      </c>
      <c r="D21" s="75" t="str">
        <f ca="1">Berechnung3!P21</f>
        <v/>
      </c>
    </row>
    <row r="22" spans="1:4" x14ac:dyDescent="0.2">
      <c r="A22" s="136" t="str">
        <f ca="1">Berechnung3!L22</f>
        <v/>
      </c>
      <c r="B22" s="136" t="str">
        <f ca="1">Berechnung3!N22</f>
        <v/>
      </c>
      <c r="C22" s="75" t="str">
        <f ca="1">Berechnung3!O22</f>
        <v/>
      </c>
      <c r="D22" s="75" t="str">
        <f ca="1">Berechnung3!P22</f>
        <v/>
      </c>
    </row>
    <row r="23" spans="1:4" x14ac:dyDescent="0.2">
      <c r="A23" s="136" t="str">
        <f ca="1">Berechnung3!L23</f>
        <v/>
      </c>
      <c r="B23" s="136" t="str">
        <f ca="1">Berechnung3!N23</f>
        <v/>
      </c>
      <c r="C23" s="75" t="str">
        <f ca="1">Berechnung3!O23</f>
        <v/>
      </c>
      <c r="D23" s="75" t="str">
        <f ca="1">Berechnung3!P23</f>
        <v/>
      </c>
    </row>
    <row r="24" spans="1:4" x14ac:dyDescent="0.2">
      <c r="A24" s="136" t="str">
        <f ca="1">Berechnung3!L24</f>
        <v/>
      </c>
      <c r="B24" s="136" t="str">
        <f ca="1">Berechnung3!N24</f>
        <v/>
      </c>
      <c r="C24" s="75" t="str">
        <f ca="1">Berechnung3!O24</f>
        <v/>
      </c>
      <c r="D24" s="75" t="str">
        <f ca="1">Berechnung3!P24</f>
        <v/>
      </c>
    </row>
    <row r="25" spans="1:4" x14ac:dyDescent="0.2">
      <c r="A25" s="136" t="str">
        <f ca="1">Berechnung3!L25</f>
        <v/>
      </c>
      <c r="B25" s="136" t="str">
        <f ca="1">Berechnung3!N25</f>
        <v/>
      </c>
      <c r="C25" s="75" t="str">
        <f ca="1">Berechnung3!O25</f>
        <v/>
      </c>
      <c r="D25" s="75" t="str">
        <f ca="1">Berechnung3!P25</f>
        <v/>
      </c>
    </row>
    <row r="26" spans="1:4" x14ac:dyDescent="0.2">
      <c r="A26" s="136" t="str">
        <f ca="1">Berechnung3!L26</f>
        <v/>
      </c>
      <c r="B26" s="136" t="str">
        <f ca="1">Berechnung3!N26</f>
        <v/>
      </c>
      <c r="C26" s="75" t="str">
        <f ca="1">Berechnung3!O26</f>
        <v/>
      </c>
      <c r="D26" s="75" t="str">
        <f ca="1">Berechnung3!P26</f>
        <v/>
      </c>
    </row>
    <row r="27" spans="1:4" x14ac:dyDescent="0.2">
      <c r="A27" s="136" t="str">
        <f ca="1">Berechnung3!L27</f>
        <v/>
      </c>
      <c r="B27" s="136" t="str">
        <f ca="1">Berechnung3!N27</f>
        <v/>
      </c>
      <c r="C27" s="75" t="str">
        <f ca="1">Berechnung3!O27</f>
        <v/>
      </c>
      <c r="D27" s="75" t="str">
        <f ca="1">Berechnung3!P27</f>
        <v/>
      </c>
    </row>
    <row r="28" spans="1:4" x14ac:dyDescent="0.2">
      <c r="A28" s="136" t="str">
        <f ca="1">Berechnung3!L28</f>
        <v/>
      </c>
      <c r="B28" s="136" t="str">
        <f ca="1">Berechnung3!N28</f>
        <v/>
      </c>
      <c r="C28" s="75" t="str">
        <f ca="1">Berechnung3!O28</f>
        <v/>
      </c>
      <c r="D28" s="75" t="str">
        <f ca="1">Berechnung3!P28</f>
        <v/>
      </c>
    </row>
    <row r="29" spans="1:4" x14ac:dyDescent="0.2">
      <c r="A29" s="136" t="str">
        <f ca="1">Berechnung3!L29</f>
        <v/>
      </c>
      <c r="B29" s="136" t="str">
        <f ca="1">Berechnung3!N29</f>
        <v/>
      </c>
      <c r="C29" s="75" t="str">
        <f ca="1">Berechnung3!O29</f>
        <v/>
      </c>
      <c r="D29" s="75" t="str">
        <f ca="1">Berechnung3!P29</f>
        <v/>
      </c>
    </row>
    <row r="30" spans="1:4" x14ac:dyDescent="0.2">
      <c r="A30" s="136" t="str">
        <f ca="1">Berechnung3!L30</f>
        <v/>
      </c>
      <c r="B30" s="136" t="str">
        <f ca="1">Berechnung3!N30</f>
        <v/>
      </c>
      <c r="C30" s="75" t="str">
        <f ca="1">Berechnung3!O30</f>
        <v/>
      </c>
      <c r="D30" s="75" t="str">
        <f ca="1">Berechnung3!P30</f>
        <v/>
      </c>
    </row>
    <row r="31" spans="1:4" x14ac:dyDescent="0.2">
      <c r="A31" s="136" t="str">
        <f ca="1">Berechnung3!L31</f>
        <v/>
      </c>
      <c r="B31" s="136" t="str">
        <f ca="1">Berechnung3!N31</f>
        <v/>
      </c>
      <c r="C31" s="75" t="str">
        <f ca="1">Berechnung3!O31</f>
        <v/>
      </c>
      <c r="D31" s="75" t="str">
        <f ca="1">Berechnung3!P31</f>
        <v/>
      </c>
    </row>
    <row r="32" spans="1:4" x14ac:dyDescent="0.2">
      <c r="A32" s="136" t="str">
        <f ca="1">Berechnung3!L32</f>
        <v/>
      </c>
      <c r="B32" s="136" t="str">
        <f ca="1">Berechnung3!N32</f>
        <v/>
      </c>
      <c r="C32" s="75" t="str">
        <f ca="1">Berechnung3!O32</f>
        <v/>
      </c>
      <c r="D32" s="75" t="str">
        <f ca="1">Berechnung3!P32</f>
        <v/>
      </c>
    </row>
    <row r="33" spans="1:4" x14ac:dyDescent="0.2">
      <c r="A33" s="136" t="str">
        <f ca="1">Berechnung3!L33</f>
        <v/>
      </c>
      <c r="B33" s="136" t="str">
        <f ca="1">Berechnung3!N33</f>
        <v/>
      </c>
      <c r="C33" s="75" t="str">
        <f ca="1">Berechnung3!O33</f>
        <v/>
      </c>
      <c r="D33" s="75" t="str">
        <f ca="1">Berechnung3!P33</f>
        <v/>
      </c>
    </row>
    <row r="34" spans="1:4" x14ac:dyDescent="0.2">
      <c r="A34" s="136" t="str">
        <f ca="1">Berechnung3!L34</f>
        <v/>
      </c>
      <c r="B34" s="136" t="str">
        <f ca="1">Berechnung3!N34</f>
        <v/>
      </c>
      <c r="C34" s="75" t="str">
        <f ca="1">Berechnung3!O34</f>
        <v/>
      </c>
      <c r="D34" s="75" t="str">
        <f ca="1">Berechnung3!P34</f>
        <v/>
      </c>
    </row>
    <row r="35" spans="1:4" x14ac:dyDescent="0.2">
      <c r="A35" s="136" t="str">
        <f ca="1">Berechnung3!L35</f>
        <v/>
      </c>
      <c r="B35" s="136" t="str">
        <f ca="1">Berechnung3!N35</f>
        <v/>
      </c>
      <c r="C35" s="75" t="str">
        <f ca="1">Berechnung3!O35</f>
        <v/>
      </c>
      <c r="D35" s="75" t="str">
        <f ca="1">Berechnung3!P35</f>
        <v/>
      </c>
    </row>
    <row r="36" spans="1:4" x14ac:dyDescent="0.2">
      <c r="A36" s="136" t="str">
        <f ca="1">Berechnung3!L36</f>
        <v/>
      </c>
      <c r="B36" s="136" t="str">
        <f ca="1">Berechnung3!N36</f>
        <v/>
      </c>
      <c r="C36" s="75" t="str">
        <f ca="1">Berechnung3!O36</f>
        <v/>
      </c>
      <c r="D36" s="75" t="str">
        <f ca="1">Berechnung3!P36</f>
        <v/>
      </c>
    </row>
    <row r="37" spans="1:4" x14ac:dyDescent="0.2">
      <c r="A37" s="136" t="str">
        <f ca="1">Berechnung3!L37</f>
        <v/>
      </c>
      <c r="B37" s="136" t="str">
        <f ca="1">Berechnung3!N37</f>
        <v/>
      </c>
      <c r="C37" s="75" t="str">
        <f ca="1">Berechnung3!O37</f>
        <v/>
      </c>
      <c r="D37" s="75" t="str">
        <f ca="1">Berechnung3!P37</f>
        <v/>
      </c>
    </row>
    <row r="38" spans="1:4" x14ac:dyDescent="0.2">
      <c r="A38" s="136" t="str">
        <f ca="1">Berechnung3!L38</f>
        <v/>
      </c>
      <c r="B38" s="136" t="str">
        <f ca="1">Berechnung3!N38</f>
        <v/>
      </c>
      <c r="C38" s="75" t="str">
        <f ca="1">Berechnung3!O38</f>
        <v/>
      </c>
      <c r="D38" s="75" t="str">
        <f ca="1">Berechnung3!P38</f>
        <v/>
      </c>
    </row>
    <row r="39" spans="1:4" x14ac:dyDescent="0.2">
      <c r="A39" s="136" t="str">
        <f ca="1">Berechnung3!L39</f>
        <v/>
      </c>
      <c r="B39" s="136" t="str">
        <f ca="1">Berechnung3!N39</f>
        <v/>
      </c>
      <c r="C39" s="75" t="str">
        <f ca="1">Berechnung3!O39</f>
        <v/>
      </c>
      <c r="D39" s="75" t="str">
        <f ca="1">Berechnung3!P39</f>
        <v/>
      </c>
    </row>
    <row r="40" spans="1:4" x14ac:dyDescent="0.2">
      <c r="A40" s="136" t="str">
        <f ca="1">Berechnung3!L40</f>
        <v/>
      </c>
      <c r="B40" s="136" t="str">
        <f ca="1">Berechnung3!N40</f>
        <v/>
      </c>
      <c r="C40" s="75" t="str">
        <f ca="1">Berechnung3!O40</f>
        <v/>
      </c>
      <c r="D40" s="75" t="str">
        <f ca="1">Berechnung3!P40</f>
        <v/>
      </c>
    </row>
    <row r="41" spans="1:4" x14ac:dyDescent="0.2">
      <c r="A41" s="136" t="str">
        <f ca="1">Berechnung3!L41</f>
        <v/>
      </c>
      <c r="B41" s="136" t="str">
        <f ca="1">Berechnung3!N41</f>
        <v/>
      </c>
      <c r="C41" s="75" t="str">
        <f ca="1">Berechnung3!O41</f>
        <v/>
      </c>
      <c r="D41" s="75" t="str">
        <f ca="1">Berechnung3!P41</f>
        <v/>
      </c>
    </row>
    <row r="42" spans="1:4" x14ac:dyDescent="0.2">
      <c r="A42" s="136" t="str">
        <f ca="1">Berechnung3!L42</f>
        <v/>
      </c>
      <c r="B42" s="136" t="str">
        <f ca="1">Berechnung3!N42</f>
        <v/>
      </c>
      <c r="C42" s="75" t="str">
        <f ca="1">Berechnung3!O42</f>
        <v/>
      </c>
      <c r="D42" s="75" t="str">
        <f ca="1">Berechnung3!P42</f>
        <v/>
      </c>
    </row>
    <row r="43" spans="1:4" x14ac:dyDescent="0.2">
      <c r="A43" s="136" t="str">
        <f ca="1">Berechnung3!L43</f>
        <v/>
      </c>
      <c r="B43" s="136" t="str">
        <f ca="1">Berechnung3!N43</f>
        <v/>
      </c>
      <c r="C43" s="75" t="str">
        <f ca="1">Berechnung3!O43</f>
        <v/>
      </c>
      <c r="D43" s="75" t="str">
        <f ca="1">Berechnung3!P43</f>
        <v/>
      </c>
    </row>
    <row r="44" spans="1:4" x14ac:dyDescent="0.2">
      <c r="A44" s="136" t="str">
        <f ca="1">Berechnung3!L44</f>
        <v/>
      </c>
      <c r="B44" s="136" t="str">
        <f ca="1">Berechnung3!N44</f>
        <v/>
      </c>
      <c r="C44" s="75" t="str">
        <f ca="1">Berechnung3!O44</f>
        <v/>
      </c>
      <c r="D44" s="75" t="str">
        <f ca="1">Berechnung3!P44</f>
        <v/>
      </c>
    </row>
    <row r="45" spans="1:4" x14ac:dyDescent="0.2">
      <c r="A45" s="136" t="str">
        <f ca="1">Berechnung3!L45</f>
        <v/>
      </c>
      <c r="B45" s="136" t="str">
        <f ca="1">Berechnung3!N45</f>
        <v/>
      </c>
      <c r="C45" s="75" t="str">
        <f ca="1">Berechnung3!O45</f>
        <v/>
      </c>
      <c r="D45" s="75" t="str">
        <f ca="1">Berechnung3!P45</f>
        <v/>
      </c>
    </row>
    <row r="46" spans="1:4" x14ac:dyDescent="0.2">
      <c r="A46" s="136" t="str">
        <f ca="1">Berechnung3!L46</f>
        <v/>
      </c>
      <c r="B46" s="136" t="str">
        <f ca="1">Berechnung3!N46</f>
        <v/>
      </c>
      <c r="C46" s="75" t="str">
        <f ca="1">Berechnung3!O46</f>
        <v/>
      </c>
      <c r="D46" s="75" t="str">
        <f ca="1">Berechnung3!P46</f>
        <v/>
      </c>
    </row>
    <row r="47" spans="1:4" x14ac:dyDescent="0.2">
      <c r="A47" s="136" t="str">
        <f ca="1">Berechnung3!L47</f>
        <v/>
      </c>
      <c r="B47" s="136" t="str">
        <f ca="1">Berechnung3!N47</f>
        <v/>
      </c>
      <c r="C47" s="75" t="str">
        <f ca="1">Berechnung3!O47</f>
        <v/>
      </c>
      <c r="D47" s="75" t="str">
        <f ca="1">Berechnung3!P47</f>
        <v/>
      </c>
    </row>
    <row r="48" spans="1:4" x14ac:dyDescent="0.2">
      <c r="A48" s="136" t="str">
        <f ca="1">Berechnung3!L48</f>
        <v/>
      </c>
      <c r="B48" s="136" t="str">
        <f ca="1">Berechnung3!N48</f>
        <v/>
      </c>
      <c r="C48" s="75" t="str">
        <f ca="1">Berechnung3!O48</f>
        <v/>
      </c>
      <c r="D48" s="75" t="str">
        <f ca="1">Berechnung3!P48</f>
        <v/>
      </c>
    </row>
    <row r="49" spans="1:4" x14ac:dyDescent="0.2">
      <c r="A49" s="136" t="str">
        <f ca="1">Berechnung3!L49</f>
        <v/>
      </c>
      <c r="B49" s="136" t="str">
        <f ca="1">Berechnung3!N49</f>
        <v/>
      </c>
      <c r="C49" s="75" t="str">
        <f ca="1">Berechnung3!O49</f>
        <v/>
      </c>
      <c r="D49" s="75" t="str">
        <f ca="1">Berechnung3!P49</f>
        <v/>
      </c>
    </row>
    <row r="50" spans="1:4" x14ac:dyDescent="0.2">
      <c r="A50" s="136" t="str">
        <f ca="1">Berechnung3!L50</f>
        <v/>
      </c>
      <c r="B50" s="136" t="str">
        <f ca="1">Berechnung3!N50</f>
        <v/>
      </c>
      <c r="C50" s="75" t="str">
        <f ca="1">Berechnung3!O50</f>
        <v/>
      </c>
      <c r="D50" s="75" t="str">
        <f ca="1">Berechnung3!P50</f>
        <v/>
      </c>
    </row>
    <row r="51" spans="1:4" x14ac:dyDescent="0.2">
      <c r="A51" s="136" t="str">
        <f ca="1">Berechnung3!L51</f>
        <v/>
      </c>
      <c r="B51" s="136" t="str">
        <f ca="1">Berechnung3!N51</f>
        <v/>
      </c>
      <c r="C51" s="75" t="str">
        <f ca="1">Berechnung3!O51</f>
        <v/>
      </c>
      <c r="D51" s="75" t="str">
        <f ca="1">Berechnung3!P51</f>
        <v/>
      </c>
    </row>
    <row r="52" spans="1:4" x14ac:dyDescent="0.2">
      <c r="A52" s="136" t="str">
        <f ca="1">Berechnung3!L52</f>
        <v/>
      </c>
      <c r="B52" s="136" t="str">
        <f ca="1">Berechnung3!N52</f>
        <v/>
      </c>
      <c r="C52" s="75" t="str">
        <f ca="1">Berechnung3!O52</f>
        <v/>
      </c>
      <c r="D52" s="75" t="str">
        <f ca="1">Berechnung3!P52</f>
        <v/>
      </c>
    </row>
    <row r="53" spans="1:4" x14ac:dyDescent="0.2">
      <c r="A53" s="136" t="str">
        <f ca="1">Berechnung3!L53</f>
        <v/>
      </c>
      <c r="B53" s="136" t="str">
        <f ca="1">Berechnung3!N53</f>
        <v/>
      </c>
      <c r="C53" s="75" t="str">
        <f ca="1">Berechnung3!O53</f>
        <v/>
      </c>
      <c r="D53" s="75" t="str">
        <f ca="1">Berechnung3!P53</f>
        <v/>
      </c>
    </row>
    <row r="54" spans="1:4" x14ac:dyDescent="0.2">
      <c r="A54" s="136" t="str">
        <f ca="1">Berechnung3!L54</f>
        <v/>
      </c>
      <c r="B54" s="136" t="str">
        <f ca="1">Berechnung3!N54</f>
        <v/>
      </c>
      <c r="C54" s="75" t="str">
        <f ca="1">Berechnung3!O54</f>
        <v/>
      </c>
      <c r="D54" s="75" t="str">
        <f ca="1">Berechnung3!P54</f>
        <v/>
      </c>
    </row>
    <row r="55" spans="1:4" x14ac:dyDescent="0.2">
      <c r="A55" s="136" t="str">
        <f ca="1">Berechnung3!L55</f>
        <v/>
      </c>
      <c r="B55" s="136" t="str">
        <f ca="1">Berechnung3!N55</f>
        <v/>
      </c>
      <c r="C55" s="75" t="str">
        <f ca="1">Berechnung3!O55</f>
        <v/>
      </c>
      <c r="D55" s="75" t="str">
        <f ca="1">Berechnung3!P55</f>
        <v/>
      </c>
    </row>
    <row r="56" spans="1:4" x14ac:dyDescent="0.2">
      <c r="A56" s="136" t="str">
        <f ca="1">Berechnung3!L56</f>
        <v/>
      </c>
      <c r="B56" s="136" t="str">
        <f ca="1">Berechnung3!N56</f>
        <v/>
      </c>
      <c r="C56" s="75" t="str">
        <f ca="1">Berechnung3!O56</f>
        <v/>
      </c>
      <c r="D56" s="75" t="str">
        <f ca="1">Berechnung3!P56</f>
        <v/>
      </c>
    </row>
    <row r="57" spans="1:4" x14ac:dyDescent="0.2">
      <c r="A57" s="136" t="str">
        <f ca="1">Berechnung3!L57</f>
        <v/>
      </c>
      <c r="B57" s="136" t="str">
        <f ca="1">Berechnung3!N57</f>
        <v/>
      </c>
      <c r="C57" s="75" t="str">
        <f ca="1">Berechnung3!O57</f>
        <v/>
      </c>
      <c r="D57" s="75" t="str">
        <f ca="1">Berechnung3!P57</f>
        <v/>
      </c>
    </row>
    <row r="58" spans="1:4" x14ac:dyDescent="0.2">
      <c r="A58" s="136" t="str">
        <f ca="1">Berechnung3!L58</f>
        <v/>
      </c>
      <c r="B58" s="136" t="str">
        <f ca="1">Berechnung3!N58</f>
        <v/>
      </c>
      <c r="C58" s="75" t="str">
        <f ca="1">Berechnung3!O58</f>
        <v/>
      </c>
      <c r="D58" s="75" t="str">
        <f ca="1">Berechnung3!P58</f>
        <v/>
      </c>
    </row>
    <row r="59" spans="1:4" x14ac:dyDescent="0.2">
      <c r="A59" s="136" t="str">
        <f ca="1">Berechnung3!L59</f>
        <v/>
      </c>
      <c r="B59" s="136" t="str">
        <f ca="1">Berechnung3!N59</f>
        <v/>
      </c>
      <c r="C59" s="75" t="str">
        <f ca="1">Berechnung3!O59</f>
        <v/>
      </c>
      <c r="D59" s="75" t="str">
        <f ca="1">Berechnung3!P59</f>
        <v/>
      </c>
    </row>
    <row r="60" spans="1:4" x14ac:dyDescent="0.2">
      <c r="A60" s="136" t="str">
        <f ca="1">Berechnung3!L60</f>
        <v/>
      </c>
      <c r="B60" s="136" t="str">
        <f ca="1">Berechnung3!N60</f>
        <v/>
      </c>
      <c r="C60" s="75" t="str">
        <f ca="1">Berechnung3!O60</f>
        <v/>
      </c>
      <c r="D60" s="75" t="str">
        <f ca="1">Berechnung3!P60</f>
        <v/>
      </c>
    </row>
    <row r="61" spans="1:4" x14ac:dyDescent="0.2">
      <c r="A61" s="136" t="str">
        <f ca="1">Berechnung3!L61</f>
        <v/>
      </c>
      <c r="B61" s="136" t="str">
        <f ca="1">Berechnung3!N61</f>
        <v/>
      </c>
      <c r="C61" s="75" t="str">
        <f ca="1">Berechnung3!O61</f>
        <v/>
      </c>
      <c r="D61" s="75" t="str">
        <f ca="1">Berechnung3!P61</f>
        <v/>
      </c>
    </row>
    <row r="62" spans="1:4" x14ac:dyDescent="0.2">
      <c r="A62" s="136" t="str">
        <f ca="1">Berechnung3!L62</f>
        <v/>
      </c>
      <c r="B62" s="136" t="str">
        <f ca="1">Berechnung3!N62</f>
        <v/>
      </c>
      <c r="C62" s="75" t="str">
        <f ca="1">Berechnung3!O62</f>
        <v/>
      </c>
      <c r="D62" s="75" t="str">
        <f ca="1">Berechnung3!P62</f>
        <v/>
      </c>
    </row>
    <row r="63" spans="1:4" x14ac:dyDescent="0.2">
      <c r="A63" s="136" t="str">
        <f ca="1">Berechnung3!L63</f>
        <v/>
      </c>
      <c r="B63" s="136" t="str">
        <f ca="1">Berechnung3!N63</f>
        <v/>
      </c>
      <c r="C63" s="75" t="str">
        <f ca="1">Berechnung3!O63</f>
        <v/>
      </c>
      <c r="D63" s="75" t="str">
        <f ca="1">Berechnung3!P63</f>
        <v/>
      </c>
    </row>
    <row r="64" spans="1:4" x14ac:dyDescent="0.2">
      <c r="A64" s="136" t="str">
        <f ca="1">Berechnung3!L64</f>
        <v/>
      </c>
      <c r="B64" s="136" t="str">
        <f ca="1">Berechnung3!N64</f>
        <v/>
      </c>
      <c r="C64" s="75" t="str">
        <f ca="1">Berechnung3!O64</f>
        <v/>
      </c>
      <c r="D64" s="75" t="str">
        <f ca="1">Berechnung3!P64</f>
        <v/>
      </c>
    </row>
    <row r="65" spans="1:4" x14ac:dyDescent="0.2">
      <c r="A65" s="136" t="str">
        <f ca="1">Berechnung3!L65</f>
        <v/>
      </c>
      <c r="B65" s="136" t="str">
        <f ca="1">Berechnung3!N65</f>
        <v/>
      </c>
      <c r="C65" s="75" t="str">
        <f ca="1">Berechnung3!O65</f>
        <v/>
      </c>
      <c r="D65" s="75" t="str">
        <f ca="1">Berechnung3!P65</f>
        <v/>
      </c>
    </row>
    <row r="66" spans="1:4" x14ac:dyDescent="0.2">
      <c r="A66" s="136" t="str">
        <f ca="1">Berechnung3!L66</f>
        <v/>
      </c>
      <c r="B66" s="136" t="str">
        <f ca="1">Berechnung3!N66</f>
        <v/>
      </c>
      <c r="C66" s="75" t="str">
        <f ca="1">Berechnung3!O66</f>
        <v/>
      </c>
      <c r="D66" s="75" t="str">
        <f ca="1">Berechnung3!P66</f>
        <v/>
      </c>
    </row>
    <row r="67" spans="1:4" x14ac:dyDescent="0.2">
      <c r="A67" s="136" t="str">
        <f ca="1">Berechnung3!L67</f>
        <v/>
      </c>
      <c r="B67" s="136" t="str">
        <f ca="1">Berechnung3!N67</f>
        <v/>
      </c>
      <c r="C67" s="75" t="str">
        <f ca="1">Berechnung3!O67</f>
        <v/>
      </c>
      <c r="D67" s="75" t="str">
        <f ca="1">Berechnung3!P67</f>
        <v/>
      </c>
    </row>
    <row r="68" spans="1:4" x14ac:dyDescent="0.2">
      <c r="A68" s="136" t="str">
        <f ca="1">Berechnung3!L68</f>
        <v/>
      </c>
      <c r="B68" s="136" t="str">
        <f ca="1">Berechnung3!N68</f>
        <v/>
      </c>
      <c r="C68" s="75" t="str">
        <f ca="1">Berechnung3!O68</f>
        <v/>
      </c>
      <c r="D68" s="75" t="str">
        <f ca="1">Berechnung3!P68</f>
        <v/>
      </c>
    </row>
    <row r="69" spans="1:4" x14ac:dyDescent="0.2">
      <c r="A69" s="136" t="str">
        <f ca="1">Berechnung3!L69</f>
        <v/>
      </c>
      <c r="B69" s="136" t="str">
        <f ca="1">Berechnung3!N69</f>
        <v/>
      </c>
      <c r="C69" s="75" t="str">
        <f ca="1">Berechnung3!O69</f>
        <v/>
      </c>
      <c r="D69" s="75" t="str">
        <f ca="1">Berechnung3!P69</f>
        <v/>
      </c>
    </row>
    <row r="70" spans="1:4" x14ac:dyDescent="0.2">
      <c r="A70" s="136" t="str">
        <f ca="1">Berechnung3!L70</f>
        <v/>
      </c>
      <c r="B70" s="136" t="str">
        <f ca="1">Berechnung3!N70</f>
        <v/>
      </c>
      <c r="C70" s="75" t="str">
        <f ca="1">Berechnung3!O70</f>
        <v/>
      </c>
      <c r="D70" s="75" t="str">
        <f ca="1">Berechnung3!P70</f>
        <v/>
      </c>
    </row>
    <row r="71" spans="1:4" x14ac:dyDescent="0.2">
      <c r="A71" s="136" t="str">
        <f ca="1">Berechnung3!L71</f>
        <v/>
      </c>
      <c r="B71" s="136" t="str">
        <f ca="1">Berechnung3!N71</f>
        <v/>
      </c>
      <c r="C71" s="75" t="str">
        <f ca="1">Berechnung3!O71</f>
        <v/>
      </c>
      <c r="D71" s="75" t="str">
        <f ca="1">Berechnung3!P71</f>
        <v/>
      </c>
    </row>
    <row r="72" spans="1:4" x14ac:dyDescent="0.2">
      <c r="A72" s="136" t="str">
        <f ca="1">Berechnung3!L72</f>
        <v/>
      </c>
      <c r="B72" s="136" t="str">
        <f ca="1">Berechnung3!N72</f>
        <v/>
      </c>
      <c r="C72" s="75" t="str">
        <f ca="1">Berechnung3!O72</f>
        <v/>
      </c>
      <c r="D72" s="75" t="str">
        <f ca="1">Berechnung3!P72</f>
        <v/>
      </c>
    </row>
    <row r="73" spans="1:4" x14ac:dyDescent="0.2">
      <c r="A73" s="136" t="str">
        <f ca="1">Berechnung3!L73</f>
        <v/>
      </c>
      <c r="B73" s="136" t="str">
        <f ca="1">Berechnung3!N73</f>
        <v/>
      </c>
      <c r="C73" s="75" t="str">
        <f ca="1">Berechnung3!O73</f>
        <v/>
      </c>
      <c r="D73" s="75" t="str">
        <f ca="1">Berechnung3!P73</f>
        <v/>
      </c>
    </row>
    <row r="74" spans="1:4" x14ac:dyDescent="0.2">
      <c r="A74" s="136" t="str">
        <f ca="1">Berechnung3!L74</f>
        <v/>
      </c>
      <c r="B74" s="136" t="str">
        <f ca="1">Berechnung3!N74</f>
        <v/>
      </c>
      <c r="C74" s="75" t="str">
        <f ca="1">Berechnung3!O74</f>
        <v/>
      </c>
      <c r="D74" s="75" t="str">
        <f ca="1">Berechnung3!P74</f>
        <v/>
      </c>
    </row>
    <row r="75" spans="1:4" x14ac:dyDescent="0.2">
      <c r="A75" s="136" t="str">
        <f ca="1">Berechnung3!L75</f>
        <v/>
      </c>
      <c r="B75" s="136" t="str">
        <f ca="1">Berechnung3!N75</f>
        <v/>
      </c>
      <c r="C75" s="75" t="str">
        <f ca="1">Berechnung3!O75</f>
        <v/>
      </c>
      <c r="D75" s="75" t="str">
        <f ca="1">Berechnung3!P75</f>
        <v/>
      </c>
    </row>
    <row r="76" spans="1:4" x14ac:dyDescent="0.2">
      <c r="A76" s="136" t="str">
        <f ca="1">Berechnung3!L76</f>
        <v/>
      </c>
      <c r="B76" s="136" t="str">
        <f ca="1">Berechnung3!N76</f>
        <v/>
      </c>
      <c r="C76" s="75" t="str">
        <f ca="1">Berechnung3!O76</f>
        <v/>
      </c>
      <c r="D76" s="75" t="str">
        <f ca="1">Berechnung3!P76</f>
        <v/>
      </c>
    </row>
    <row r="77" spans="1:4" x14ac:dyDescent="0.2">
      <c r="A77" s="136" t="str">
        <f ca="1">Berechnung3!L77</f>
        <v/>
      </c>
      <c r="B77" s="136" t="str">
        <f ca="1">Berechnung3!N77</f>
        <v/>
      </c>
      <c r="C77" s="75" t="str">
        <f ca="1">Berechnung3!O77</f>
        <v/>
      </c>
      <c r="D77" s="75" t="str">
        <f ca="1">Berechnung3!P77</f>
        <v/>
      </c>
    </row>
    <row r="78" spans="1:4" x14ac:dyDescent="0.2">
      <c r="A78" s="136" t="str">
        <f ca="1">Berechnung3!L78</f>
        <v/>
      </c>
      <c r="B78" s="136" t="str">
        <f ca="1">Berechnung3!N78</f>
        <v/>
      </c>
      <c r="C78" s="75" t="str">
        <f ca="1">Berechnung3!O78</f>
        <v/>
      </c>
      <c r="D78" s="75" t="str">
        <f ca="1">Berechnung3!P78</f>
        <v/>
      </c>
    </row>
    <row r="79" spans="1:4" x14ac:dyDescent="0.2">
      <c r="A79" s="136" t="str">
        <f ca="1">Berechnung3!L79</f>
        <v/>
      </c>
      <c r="B79" s="136" t="str">
        <f ca="1">Berechnung3!N79</f>
        <v/>
      </c>
      <c r="C79" s="75" t="str">
        <f ca="1">Berechnung3!O79</f>
        <v/>
      </c>
      <c r="D79" s="75" t="str">
        <f ca="1">Berechnung3!P79</f>
        <v/>
      </c>
    </row>
    <row r="80" spans="1:4" x14ac:dyDescent="0.2">
      <c r="A80" s="136" t="str">
        <f ca="1">Berechnung3!L80</f>
        <v/>
      </c>
      <c r="B80" s="136" t="str">
        <f ca="1">Berechnung3!N80</f>
        <v/>
      </c>
      <c r="C80" s="75" t="str">
        <f ca="1">Berechnung3!O80</f>
        <v/>
      </c>
      <c r="D80" s="75" t="str">
        <f ca="1">Berechnung3!P80</f>
        <v/>
      </c>
    </row>
    <row r="81" spans="1:4" x14ac:dyDescent="0.2">
      <c r="A81" s="136" t="str">
        <f ca="1">Berechnung3!L81</f>
        <v/>
      </c>
      <c r="B81" s="136" t="str">
        <f ca="1">Berechnung3!N81</f>
        <v/>
      </c>
      <c r="C81" s="75" t="str">
        <f ca="1">Berechnung3!O81</f>
        <v/>
      </c>
      <c r="D81" s="75" t="str">
        <f ca="1">Berechnung3!P81</f>
        <v/>
      </c>
    </row>
    <row r="82" spans="1:4" x14ac:dyDescent="0.2">
      <c r="A82" s="136" t="str">
        <f ca="1">Berechnung3!L82</f>
        <v/>
      </c>
      <c r="B82" s="136" t="str">
        <f ca="1">Berechnung3!N82</f>
        <v/>
      </c>
      <c r="C82" s="75" t="str">
        <f ca="1">Berechnung3!O82</f>
        <v/>
      </c>
      <c r="D82" s="75" t="str">
        <f ca="1">Berechnung3!P82</f>
        <v/>
      </c>
    </row>
    <row r="83" spans="1:4" x14ac:dyDescent="0.2">
      <c r="A83" s="136" t="str">
        <f ca="1">Berechnung3!L83</f>
        <v/>
      </c>
      <c r="B83" s="136" t="str">
        <f ca="1">Berechnung3!N83</f>
        <v/>
      </c>
      <c r="C83" s="75" t="str">
        <f ca="1">Berechnung3!O83</f>
        <v/>
      </c>
      <c r="D83" s="75" t="str">
        <f ca="1">Berechnung3!P83</f>
        <v/>
      </c>
    </row>
    <row r="84" spans="1:4" x14ac:dyDescent="0.2">
      <c r="A84" s="136" t="str">
        <f ca="1">Berechnung3!L84</f>
        <v/>
      </c>
      <c r="B84" s="136" t="str">
        <f ca="1">Berechnung3!N84</f>
        <v/>
      </c>
      <c r="C84" s="75" t="str">
        <f ca="1">Berechnung3!O84</f>
        <v/>
      </c>
      <c r="D84" s="75" t="str">
        <f ca="1">Berechnung3!P84</f>
        <v/>
      </c>
    </row>
    <row r="85" spans="1:4" x14ac:dyDescent="0.2">
      <c r="A85" s="136" t="str">
        <f ca="1">Berechnung3!L85</f>
        <v/>
      </c>
      <c r="B85" s="136" t="str">
        <f ca="1">Berechnung3!N85</f>
        <v/>
      </c>
      <c r="C85" s="75" t="str">
        <f ca="1">Berechnung3!O85</f>
        <v/>
      </c>
      <c r="D85" s="75" t="str">
        <f ca="1">Berechnung3!P85</f>
        <v/>
      </c>
    </row>
    <row r="86" spans="1:4" x14ac:dyDescent="0.2">
      <c r="A86" s="136" t="str">
        <f ca="1">Berechnung3!L86</f>
        <v/>
      </c>
      <c r="B86" s="136" t="str">
        <f ca="1">Berechnung3!N86</f>
        <v/>
      </c>
      <c r="C86" s="75" t="str">
        <f ca="1">Berechnung3!O86</f>
        <v/>
      </c>
      <c r="D86" s="75" t="str">
        <f ca="1">Berechnung3!P86</f>
        <v/>
      </c>
    </row>
    <row r="87" spans="1:4" x14ac:dyDescent="0.2">
      <c r="A87" s="136" t="str">
        <f ca="1">Berechnung3!L87</f>
        <v/>
      </c>
      <c r="B87" s="136" t="str">
        <f ca="1">Berechnung3!N87</f>
        <v/>
      </c>
      <c r="C87" s="75" t="str">
        <f ca="1">Berechnung3!O87</f>
        <v/>
      </c>
      <c r="D87" s="75" t="str">
        <f ca="1">Berechnung3!P87</f>
        <v/>
      </c>
    </row>
    <row r="88" spans="1:4" x14ac:dyDescent="0.2">
      <c r="A88" s="136" t="str">
        <f ca="1">Berechnung3!L88</f>
        <v/>
      </c>
      <c r="B88" s="136" t="str">
        <f ca="1">Berechnung3!N88</f>
        <v/>
      </c>
      <c r="C88" s="75" t="str">
        <f ca="1">Berechnung3!O88</f>
        <v/>
      </c>
      <c r="D88" s="75" t="str">
        <f ca="1">Berechnung3!P88</f>
        <v/>
      </c>
    </row>
    <row r="89" spans="1:4" x14ac:dyDescent="0.2">
      <c r="A89" s="136" t="str">
        <f ca="1">Berechnung3!L89</f>
        <v/>
      </c>
      <c r="B89" s="136" t="str">
        <f ca="1">Berechnung3!N89</f>
        <v/>
      </c>
      <c r="C89" s="75" t="str">
        <f ca="1">Berechnung3!O89</f>
        <v/>
      </c>
      <c r="D89" s="75" t="str">
        <f ca="1">Berechnung3!P89</f>
        <v/>
      </c>
    </row>
    <row r="90" spans="1:4" x14ac:dyDescent="0.2">
      <c r="A90" s="136" t="str">
        <f ca="1">Berechnung3!L90</f>
        <v/>
      </c>
      <c r="B90" s="136" t="str">
        <f ca="1">Berechnung3!N90</f>
        <v/>
      </c>
      <c r="C90" s="75" t="str">
        <f ca="1">Berechnung3!O90</f>
        <v/>
      </c>
      <c r="D90" s="75" t="str">
        <f ca="1">Berechnung3!P90</f>
        <v/>
      </c>
    </row>
    <row r="91" spans="1:4" x14ac:dyDescent="0.2">
      <c r="A91" s="136" t="str">
        <f ca="1">Berechnung3!L91</f>
        <v/>
      </c>
      <c r="B91" s="136" t="str">
        <f ca="1">Berechnung3!N91</f>
        <v/>
      </c>
      <c r="C91" s="75" t="str">
        <f ca="1">Berechnung3!O91</f>
        <v/>
      </c>
      <c r="D91" s="75" t="str">
        <f ca="1">Berechnung3!P91</f>
        <v/>
      </c>
    </row>
    <row r="92" spans="1:4" x14ac:dyDescent="0.2">
      <c r="A92" s="136" t="str">
        <f ca="1">Berechnung3!L92</f>
        <v/>
      </c>
      <c r="B92" s="136" t="str">
        <f ca="1">Berechnung3!N92</f>
        <v/>
      </c>
      <c r="C92" s="75" t="str">
        <f ca="1">Berechnung3!O92</f>
        <v/>
      </c>
      <c r="D92" s="75" t="str">
        <f ca="1">Berechnung3!P92</f>
        <v/>
      </c>
    </row>
    <row r="93" spans="1:4" x14ac:dyDescent="0.2">
      <c r="A93" s="136" t="str">
        <f ca="1">Berechnung3!L93</f>
        <v/>
      </c>
      <c r="B93" s="136" t="str">
        <f ca="1">Berechnung3!N93</f>
        <v/>
      </c>
      <c r="C93" s="75" t="str">
        <f ca="1">Berechnung3!O93</f>
        <v/>
      </c>
      <c r="D93" s="75" t="str">
        <f ca="1">Berechnung3!P93</f>
        <v/>
      </c>
    </row>
    <row r="94" spans="1:4" x14ac:dyDescent="0.2">
      <c r="A94" s="136" t="str">
        <f ca="1">Berechnung3!L94</f>
        <v/>
      </c>
      <c r="B94" s="136" t="str">
        <f ca="1">Berechnung3!N94</f>
        <v/>
      </c>
      <c r="C94" s="75" t="str">
        <f ca="1">Berechnung3!O94</f>
        <v/>
      </c>
      <c r="D94" s="75" t="str">
        <f ca="1">Berechnung3!P94</f>
        <v/>
      </c>
    </row>
    <row r="95" spans="1:4" x14ac:dyDescent="0.2">
      <c r="A95" s="136" t="str">
        <f ca="1">Berechnung3!L95</f>
        <v/>
      </c>
      <c r="B95" s="136" t="str">
        <f ca="1">Berechnung3!N95</f>
        <v/>
      </c>
      <c r="C95" s="75" t="str">
        <f ca="1">Berechnung3!O95</f>
        <v/>
      </c>
      <c r="D95" s="75" t="str">
        <f ca="1">Berechnung3!P95</f>
        <v/>
      </c>
    </row>
    <row r="96" spans="1:4" x14ac:dyDescent="0.2">
      <c r="A96" s="136" t="str">
        <f ca="1">Berechnung3!L96</f>
        <v/>
      </c>
      <c r="B96" s="136" t="str">
        <f ca="1">Berechnung3!N96</f>
        <v/>
      </c>
      <c r="C96" s="75" t="str">
        <f ca="1">Berechnung3!O96</f>
        <v/>
      </c>
      <c r="D96" s="75" t="str">
        <f ca="1">Berechnung3!P96</f>
        <v/>
      </c>
    </row>
    <row r="97" spans="1:4" x14ac:dyDescent="0.2">
      <c r="A97" s="136" t="str">
        <f ca="1">Berechnung3!L97</f>
        <v/>
      </c>
      <c r="B97" s="136" t="str">
        <f ca="1">Berechnung3!N97</f>
        <v/>
      </c>
      <c r="C97" s="75" t="str">
        <f ca="1">Berechnung3!O97</f>
        <v/>
      </c>
      <c r="D97" s="75" t="str">
        <f ca="1">Berechnung3!P97</f>
        <v/>
      </c>
    </row>
    <row r="98" spans="1:4" x14ac:dyDescent="0.2">
      <c r="A98" s="136" t="str">
        <f ca="1">Berechnung3!L98</f>
        <v/>
      </c>
      <c r="B98" s="136" t="str">
        <f ca="1">Berechnung3!N98</f>
        <v/>
      </c>
      <c r="C98" s="75" t="str">
        <f ca="1">Berechnung3!O98</f>
        <v/>
      </c>
      <c r="D98" s="75" t="str">
        <f ca="1">Berechnung3!P98</f>
        <v/>
      </c>
    </row>
    <row r="99" spans="1:4" x14ac:dyDescent="0.2">
      <c r="A99" s="136" t="str">
        <f ca="1">Berechnung3!L99</f>
        <v/>
      </c>
      <c r="B99" s="136" t="str">
        <f ca="1">Berechnung3!N99</f>
        <v/>
      </c>
      <c r="C99" s="75" t="str">
        <f ca="1">Berechnung3!O99</f>
        <v/>
      </c>
      <c r="D99" s="75" t="str">
        <f ca="1">Berechnung3!P99</f>
        <v/>
      </c>
    </row>
    <row r="100" spans="1:4" x14ac:dyDescent="0.2">
      <c r="A100" s="136" t="str">
        <f ca="1">Berechnung3!L100</f>
        <v/>
      </c>
      <c r="B100" s="136" t="str">
        <f ca="1">Berechnung3!N100</f>
        <v/>
      </c>
      <c r="C100" s="75" t="str">
        <f ca="1">Berechnung3!O100</f>
        <v/>
      </c>
      <c r="D100" s="75" t="str">
        <f ca="1">Berechnung3!P100</f>
        <v/>
      </c>
    </row>
    <row r="101" spans="1:4" x14ac:dyDescent="0.2">
      <c r="A101" s="136" t="str">
        <f ca="1">Berechnung3!L101</f>
        <v/>
      </c>
      <c r="B101" s="136" t="str">
        <f ca="1">Berechnung3!N101</f>
        <v/>
      </c>
      <c r="C101" s="75" t="str">
        <f ca="1">Berechnung3!O101</f>
        <v/>
      </c>
      <c r="D101" s="75" t="str">
        <f ca="1">Berechnung3!P101</f>
        <v/>
      </c>
    </row>
    <row r="102" spans="1:4" x14ac:dyDescent="0.2">
      <c r="A102" s="136" t="str">
        <f ca="1">Berechnung3!L102</f>
        <v/>
      </c>
      <c r="B102" s="136" t="str">
        <f ca="1">Berechnung3!N102</f>
        <v/>
      </c>
      <c r="C102" s="75" t="str">
        <f ca="1">Berechnung3!O102</f>
        <v/>
      </c>
      <c r="D102" s="75" t="str">
        <f ca="1">Berechnung3!P102</f>
        <v/>
      </c>
    </row>
    <row r="103" spans="1:4" x14ac:dyDescent="0.2">
      <c r="A103" s="136" t="str">
        <f ca="1">Berechnung3!L103</f>
        <v/>
      </c>
      <c r="B103" s="136" t="str">
        <f ca="1">Berechnung3!N103</f>
        <v/>
      </c>
      <c r="C103" s="75" t="str">
        <f ca="1">Berechnung3!O103</f>
        <v/>
      </c>
      <c r="D103" s="75" t="str">
        <f ca="1">Berechnung3!P103</f>
        <v/>
      </c>
    </row>
    <row r="104" spans="1:4" x14ac:dyDescent="0.2">
      <c r="A104" s="136" t="str">
        <f ca="1">Berechnung3!L104</f>
        <v/>
      </c>
      <c r="B104" s="136" t="str">
        <f ca="1">Berechnung3!N104</f>
        <v/>
      </c>
      <c r="C104" s="75" t="str">
        <f ca="1">Berechnung3!O104</f>
        <v/>
      </c>
      <c r="D104" s="75" t="str">
        <f ca="1">Berechnung3!P104</f>
        <v/>
      </c>
    </row>
    <row r="105" spans="1:4" x14ac:dyDescent="0.2">
      <c r="A105" s="136" t="str">
        <f ca="1">Berechnung3!L105</f>
        <v/>
      </c>
      <c r="B105" s="136" t="str">
        <f ca="1">Berechnung3!N105</f>
        <v/>
      </c>
      <c r="C105" s="75" t="str">
        <f ca="1">Berechnung3!O105</f>
        <v/>
      </c>
      <c r="D105" s="75" t="str">
        <f ca="1">Berechnung3!P105</f>
        <v/>
      </c>
    </row>
    <row r="106" spans="1:4" x14ac:dyDescent="0.2">
      <c r="A106" s="136" t="str">
        <f ca="1">Berechnung3!L106</f>
        <v/>
      </c>
      <c r="B106" s="136" t="str">
        <f ca="1">Berechnung3!N106</f>
        <v/>
      </c>
      <c r="C106" s="75" t="str">
        <f ca="1">Berechnung3!O106</f>
        <v/>
      </c>
      <c r="D106" s="75" t="str">
        <f ca="1">Berechnung3!P106</f>
        <v/>
      </c>
    </row>
    <row r="107" spans="1:4" x14ac:dyDescent="0.2">
      <c r="A107" s="136" t="str">
        <f ca="1">Berechnung3!L107</f>
        <v/>
      </c>
      <c r="B107" s="136" t="str">
        <f ca="1">Berechnung3!N107</f>
        <v/>
      </c>
      <c r="C107" s="75" t="str">
        <f ca="1">Berechnung3!O107</f>
        <v/>
      </c>
      <c r="D107" s="75" t="str">
        <f ca="1">Berechnung3!P107</f>
        <v/>
      </c>
    </row>
    <row r="108" spans="1:4" x14ac:dyDescent="0.2">
      <c r="A108" s="136" t="str">
        <f ca="1">Berechnung3!L108</f>
        <v/>
      </c>
      <c r="B108" s="136" t="str">
        <f ca="1">Berechnung3!N108</f>
        <v/>
      </c>
      <c r="C108" s="75" t="str">
        <f ca="1">Berechnung3!O108</f>
        <v/>
      </c>
      <c r="D108" s="75" t="str">
        <f ca="1">Berechnung3!P108</f>
        <v/>
      </c>
    </row>
    <row r="109" spans="1:4" x14ac:dyDescent="0.2">
      <c r="A109" s="136" t="str">
        <f ca="1">Berechnung3!L109</f>
        <v/>
      </c>
      <c r="B109" s="136" t="str">
        <f ca="1">Berechnung3!N109</f>
        <v/>
      </c>
      <c r="C109" s="75" t="str">
        <f ca="1">Berechnung3!O109</f>
        <v/>
      </c>
      <c r="D109" s="75" t="str">
        <f ca="1">Berechnung3!P109</f>
        <v/>
      </c>
    </row>
    <row r="110" spans="1:4" x14ac:dyDescent="0.2">
      <c r="A110" s="136" t="str">
        <f ca="1">Berechnung3!L110</f>
        <v/>
      </c>
      <c r="B110" s="136" t="str">
        <f ca="1">Berechnung3!N110</f>
        <v/>
      </c>
      <c r="C110" s="75" t="str">
        <f ca="1">Berechnung3!O110</f>
        <v/>
      </c>
      <c r="D110" s="75" t="str">
        <f ca="1">Berechnung3!P110</f>
        <v/>
      </c>
    </row>
    <row r="111" spans="1:4" x14ac:dyDescent="0.2">
      <c r="A111" s="136" t="str">
        <f ca="1">Berechnung3!L111</f>
        <v/>
      </c>
      <c r="B111" s="136" t="str">
        <f ca="1">Berechnung3!N111</f>
        <v/>
      </c>
      <c r="C111" s="75" t="str">
        <f ca="1">Berechnung3!O111</f>
        <v/>
      </c>
      <c r="D111" s="75" t="str">
        <f ca="1">Berechnung3!P111</f>
        <v/>
      </c>
    </row>
  </sheetData>
  <phoneticPr fontId="34"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15</vt:i4>
      </vt:variant>
    </vt:vector>
  </HeadingPairs>
  <TitlesOfParts>
    <vt:vector size="34" baseType="lpstr">
      <vt:lpstr>Datenquelle</vt:lpstr>
      <vt:lpstr>Basisdaten</vt:lpstr>
      <vt:lpstr>HilfstabelleSD</vt:lpstr>
      <vt:lpstr>HilfstabelleB</vt:lpstr>
      <vt:lpstr>HilfstabelleB2</vt:lpstr>
      <vt:lpstr>Studien</vt:lpstr>
      <vt:lpstr>HilfstabelleStudien</vt:lpstr>
      <vt:lpstr>Operateure</vt:lpstr>
      <vt:lpstr>Kennzahlenbogen_(KB)</vt:lpstr>
      <vt:lpstr>Berechnung1</vt:lpstr>
      <vt:lpstr>HilfstabelleKB</vt:lpstr>
      <vt:lpstr>Datendefizite_KB</vt:lpstr>
      <vt:lpstr>Hilfstabelle DatendefKB</vt:lpstr>
      <vt:lpstr>Matrix</vt:lpstr>
      <vt:lpstr>HilfstabelleM</vt:lpstr>
      <vt:lpstr>Berechnung3</vt:lpstr>
      <vt:lpstr>Berechnung2</vt:lpstr>
      <vt:lpstr>Datendefizite_Matrix</vt:lpstr>
      <vt:lpstr>HilfstabelleDM</vt:lpstr>
      <vt:lpstr>AngabeKKR</vt:lpstr>
      <vt:lpstr>Basisdaten!Druckbereich</vt:lpstr>
      <vt:lpstr>'Kennzahlenbogen_(KB)'!Druckbereich</vt:lpstr>
      <vt:lpstr>Matrix!Druckbereich</vt:lpstr>
      <vt:lpstr>Operateure!Druckbereich</vt:lpstr>
      <vt:lpstr>Studien!Druckbereich</vt:lpstr>
      <vt:lpstr>Datendefizite_KB!Drucktitel</vt:lpstr>
      <vt:lpstr>Datendefizite_Matrix!Drucktitel</vt:lpstr>
      <vt:lpstr>'Kennzahlenbogen_(KB)'!Drucktitel</vt:lpstr>
      <vt:lpstr>Keine_Zusammenarbeit</vt:lpstr>
      <vt:lpstr>myCategory</vt:lpstr>
      <vt:lpstr>OncoBox</vt:lpstr>
      <vt:lpstr>Tumordokumentation</vt:lpstr>
      <vt:lpstr>Zentrum1</vt:lpstr>
      <vt:lpstr>zentrumsintern___ohne_Krebsregister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2024-11-13T10:36:56Z</cp:lastPrinted>
  <dcterms:created xsi:type="dcterms:W3CDTF">2012-04-12T09:13:43Z</dcterms:created>
  <dcterms:modified xsi:type="dcterms:W3CDTF">2025-04-09T08:44:12Z</dcterms:modified>
</cp:coreProperties>
</file>