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L:\06_daten\09_excel-kennzahlenbögen\14_excel-kb auditjahr 2025\organe\uro\prostata\"/>
    </mc:Choice>
  </mc:AlternateContent>
  <xr:revisionPtr revIDLastSave="0" documentId="13_ncr:1_{B2BDF4EC-4E5D-427C-98D6-F1E96CCA9F21}" xr6:coauthVersionLast="47" xr6:coauthVersionMax="47" xr10:uidLastSave="{00000000-0000-0000-0000-000000000000}"/>
  <workbookProtection workbookAlgorithmName="SHA-512" workbookHashValue="L+3O/WR/ndnJ/grsWMmrBnwzcde1N/1aHUDuIikeXk9Xbp3blfrvtTT/vvUg+2bAI73zDlaozz3GoM2o8UDwog==" workbookSaltValue="oZrpVOtjBzN5h3+bgxNh8g==" workbookSpinCount="100000" lockStructure="1"/>
  <bookViews>
    <workbookView xWindow="-120" yWindow="-120" windowWidth="29040" windowHeight="15840" tabRatio="948" xr2:uid="{00000000-000D-0000-FFFF-FFFF00000000}"/>
  </bookViews>
  <sheets>
    <sheet name="Basisdaten" sheetId="1" r:id="rId1"/>
    <sheet name="Studien" sheetId="30" r:id="rId2"/>
    <sheet name="HilfstabelleStudien" sheetId="31" state="hidden" r:id="rId3"/>
    <sheet name="HilfstabelleB" sheetId="24" state="hidden" r:id="rId4"/>
    <sheet name="HilfstabelleSD" sheetId="8" state="hidden" r:id="rId5"/>
    <sheet name="Datenquelle" sheetId="16" state="hidden" r:id="rId6"/>
    <sheet name="Operateure" sheetId="32" r:id="rId7"/>
    <sheet name="Kennzahlenbogen_(KB)" sheetId="18" r:id="rId8"/>
    <sheet name="HilfstabelleKB" sheetId="7" state="hidden" r:id="rId9"/>
    <sheet name="Berechnung1" sheetId="11" state="hidden" r:id="rId10"/>
    <sheet name="Datendefizite_KB" sheetId="3" r:id="rId11"/>
    <sheet name="Hilfstabelle Datendef KB" sheetId="29" state="hidden" r:id="rId12"/>
    <sheet name="Matrix" sheetId="4" r:id="rId13"/>
    <sheet name="Berechnung2" sheetId="12" state="hidden" r:id="rId14"/>
    <sheet name="HilfstabelleM" sheetId="9" state="hidden" r:id="rId15"/>
    <sheet name="Berechnung3" sheetId="27" state="hidden" r:id="rId16"/>
    <sheet name="HilfstabelleDM" sheetId="28" state="hidden" r:id="rId17"/>
    <sheet name="Datendefizite_Matrix" sheetId="5" r:id="rId18"/>
  </sheets>
  <definedNames>
    <definedName name="_xlnm._FilterDatabase" localSheetId="13" hidden="1">Berechnung2!#REF!</definedName>
    <definedName name="_xlnm._FilterDatabase" localSheetId="5" hidden="1">Datenquelle!$A$70:$AA$244</definedName>
    <definedName name="AngabeKKR">Datenquelle!$B$57:$B$61</definedName>
    <definedName name="Keine_Zusammenarbeit">Datenquelle!$B$58</definedName>
    <definedName name="myCategory">Datenquelle!$A$27:$S$27</definedName>
    <definedName name="myItem" localSheetId="2">OFFSET(HilfstabelleStudien!myItemList,0,0,COUNTA(HilfstabelleStudien!myItemList),1)</definedName>
    <definedName name="myItem">OFFSET(myItemList,0,0,COUNTA(myItemList),1)</definedName>
    <definedName name="myItemList" localSheetId="2">INDEX(#REF!,0,MATCH(#REF!,#REF!,0))</definedName>
    <definedName name="myItemList">INDEX(Datenquelle!$A$28:$S$48,0,MATCH(Datenquelle!$F$68,Datenquelle!$A$27:$S$27,0))</definedName>
    <definedName name="_xlnm.Print_Area" localSheetId="0">Basisdaten!$A$1:$O$67</definedName>
    <definedName name="_xlnm.Print_Area" localSheetId="10">OFFSET(Datendefizite_KB!$B$1,0,0,SUMPRODUCT((Datendefizite_KB!$B$14:$B$43&lt;&gt;"")+0)+13,11)</definedName>
    <definedName name="_xlnm.Print_Area" localSheetId="7">'Kennzahlenbogen_(KB)'!$A$1:$R$110</definedName>
    <definedName name="_xlnm.Print_Area" localSheetId="12">Matrix!$A$1:$U$52</definedName>
    <definedName name="_xlnm.Print_Area" localSheetId="6">Operateure!$A$1:$K$26</definedName>
    <definedName name="_xlnm.Print_Area" localSheetId="1">Studien!$A$1:$E$60</definedName>
    <definedName name="_xlnm.Print_Titles" localSheetId="10">Datendefizite_KB!$12:$13</definedName>
    <definedName name="_xlnm.Print_Titles" localSheetId="17">Datendefizite_Matrix!$14:$15</definedName>
    <definedName name="_xlnm.Print_Titles" localSheetId="7">'Kennzahlenbogen_(KB)'!$6:$7</definedName>
    <definedName name="_xlnm.Print_Titles">'Kennzahlenbogen_(KB)'!$A$1:$Q$5</definedName>
    <definedName name="Tumordokumentation" localSheetId="2">#REF!</definedName>
    <definedName name="Tumordokumentation">Datenquelle!$B$2:$B$23</definedName>
    <definedName name="Universitätsstatus">Datenquelle!$B$52:$B$53</definedName>
    <definedName name="Z_AD479C9E_06F7_4C03_8179_295428B49475_.wvu.PrintArea" localSheetId="0" hidden="1">Basisdaten!$A$1:$O$67</definedName>
    <definedName name="Z_AD479C9E_06F7_4C03_8179_295428B49475_.wvu.PrintTitles" localSheetId="10" hidden="1">Datendefizite_KB!$12:$13</definedName>
    <definedName name="Z_AD479C9E_06F7_4C03_8179_295428B49475_.wvu.PrintTitles" localSheetId="17" hidden="1">Datendefizite_Matrix!$14:$15</definedName>
    <definedName name="Z_AD479C9E_06F7_4C03_8179_295428B49475_.wvu.PrintTitles" localSheetId="7" hidden="1">'Kennzahlenbogen_(KB)'!$6:$7</definedName>
    <definedName name="Z_DAA0C1F4_4D8F_4BD8_91F9_40281B589772_.wvu.PrintArea" localSheetId="0" hidden="1">Basisdaten!$A$1:$O$67</definedName>
    <definedName name="Z_DAA0C1F4_4D8F_4BD8_91F9_40281B589772_.wvu.PrintTitles" localSheetId="10" hidden="1">Datendefizite_KB!$12:$13</definedName>
    <definedName name="Z_DAA0C1F4_4D8F_4BD8_91F9_40281B589772_.wvu.PrintTitles" localSheetId="17" hidden="1">Datendefizite_Matrix!$14:$15</definedName>
    <definedName name="Z_DAA0C1F4_4D8F_4BD8_91F9_40281B589772_.wvu.PrintTitles" localSheetId="7" hidden="1">'Kennzahlenbogen_(KB)'!$6:$7</definedName>
    <definedName name="Z_DAA0C1F4_4D8F_4BD8_91F9_40281B589772_.wvu.Rows" localSheetId="9" hidden="1">Berechnung1!#REF!</definedName>
    <definedName name="ZentrumRegNr" localSheetId="2">#REF!</definedName>
    <definedName name="ZentrumRegNr">Datenquelle!$A$71:$A$244</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32" l="1"/>
  <c r="J10" i="32"/>
  <c r="J11" i="32"/>
  <c r="J12" i="32"/>
  <c r="J13" i="32"/>
  <c r="J14" i="32"/>
  <c r="J15" i="32"/>
  <c r="J16" i="32"/>
  <c r="J17" i="32"/>
  <c r="J18" i="32"/>
  <c r="J19" i="32"/>
  <c r="J20" i="32"/>
  <c r="J21" i="32"/>
  <c r="J22" i="32"/>
  <c r="J23" i="32"/>
  <c r="J24" i="32"/>
  <c r="J8" i="32"/>
  <c r="O9" i="32" l="1"/>
  <c r="O10" i="32"/>
  <c r="O11" i="32"/>
  <c r="O12" i="32"/>
  <c r="O13" i="32"/>
  <c r="O14" i="32"/>
  <c r="O15" i="32"/>
  <c r="O16" i="32"/>
  <c r="O17" i="32"/>
  <c r="O18" i="32"/>
  <c r="O19" i="32"/>
  <c r="O20" i="32"/>
  <c r="O21" i="32"/>
  <c r="O22" i="32"/>
  <c r="O23" i="32"/>
  <c r="O24" i="32"/>
  <c r="O8" i="32"/>
  <c r="A2" i="32"/>
  <c r="A2" i="30"/>
  <c r="E25" i="32" l="1"/>
  <c r="I12" i="30"/>
  <c r="J12" i="30"/>
  <c r="K12" i="30"/>
  <c r="I13" i="30"/>
  <c r="J13" i="30"/>
  <c r="I14" i="30"/>
  <c r="J14" i="30"/>
  <c r="I15" i="30"/>
  <c r="J15" i="30"/>
  <c r="I16" i="30"/>
  <c r="J16" i="30"/>
  <c r="I17" i="30"/>
  <c r="J17" i="30"/>
  <c r="I18" i="30"/>
  <c r="J18" i="30"/>
  <c r="I19" i="30"/>
  <c r="J19" i="30"/>
  <c r="I20" i="30"/>
  <c r="K20" i="30" s="1"/>
  <c r="J20" i="30"/>
  <c r="I21" i="30"/>
  <c r="J21" i="30"/>
  <c r="I22" i="30"/>
  <c r="J22" i="30"/>
  <c r="I23" i="30"/>
  <c r="J23" i="30"/>
  <c r="K23" i="30"/>
  <c r="B14" i="31" s="1"/>
  <c r="I24" i="30"/>
  <c r="J24" i="30"/>
  <c r="I25" i="30"/>
  <c r="J25" i="30"/>
  <c r="I26" i="30"/>
  <c r="J26" i="30"/>
  <c r="I27" i="30"/>
  <c r="J27" i="30"/>
  <c r="K27" i="30"/>
  <c r="A18" i="31" s="1"/>
  <c r="I28" i="30"/>
  <c r="J28" i="30"/>
  <c r="K28" i="30"/>
  <c r="I29" i="30"/>
  <c r="K29" i="30" s="1"/>
  <c r="A20" i="31" s="1"/>
  <c r="J29" i="30"/>
  <c r="I30" i="30"/>
  <c r="J30" i="30"/>
  <c r="I31" i="30"/>
  <c r="J31" i="30"/>
  <c r="I32" i="30"/>
  <c r="J32" i="30"/>
  <c r="I33" i="30"/>
  <c r="J33" i="30"/>
  <c r="I34" i="30"/>
  <c r="J34" i="30"/>
  <c r="I35" i="30"/>
  <c r="J35" i="30"/>
  <c r="K35" i="30"/>
  <c r="C26" i="31" s="1"/>
  <c r="I36" i="30"/>
  <c r="J36" i="30"/>
  <c r="I37" i="30"/>
  <c r="J37" i="30"/>
  <c r="I38" i="30"/>
  <c r="J38" i="30"/>
  <c r="I39" i="30"/>
  <c r="J39" i="30"/>
  <c r="I40" i="30"/>
  <c r="J40" i="30"/>
  <c r="I41" i="30"/>
  <c r="J41" i="30"/>
  <c r="I42" i="30"/>
  <c r="J42" i="30"/>
  <c r="I43" i="30"/>
  <c r="J43" i="30"/>
  <c r="K43" i="30"/>
  <c r="I44" i="30"/>
  <c r="J44" i="30"/>
  <c r="I45" i="30"/>
  <c r="J45" i="30"/>
  <c r="I46" i="30"/>
  <c r="J46" i="30"/>
  <c r="I47" i="30"/>
  <c r="J47" i="30"/>
  <c r="I48" i="30"/>
  <c r="J48" i="30"/>
  <c r="I49" i="30"/>
  <c r="J49" i="30"/>
  <c r="I50" i="30"/>
  <c r="J50" i="30"/>
  <c r="K50" i="30"/>
  <c r="I51" i="30"/>
  <c r="J51" i="30"/>
  <c r="I52" i="30"/>
  <c r="J52" i="30"/>
  <c r="I53" i="30"/>
  <c r="J53" i="30"/>
  <c r="I54" i="30"/>
  <c r="J54" i="30"/>
  <c r="I55" i="30"/>
  <c r="J55" i="30"/>
  <c r="I56" i="30"/>
  <c r="J56" i="30"/>
  <c r="I57" i="30"/>
  <c r="K57" i="30" s="1"/>
  <c r="C48" i="31" s="1"/>
  <c r="J57" i="30"/>
  <c r="I58" i="30"/>
  <c r="J58" i="30"/>
  <c r="I59" i="30"/>
  <c r="J59" i="30"/>
  <c r="I60" i="30"/>
  <c r="J60" i="30"/>
  <c r="K60" i="30"/>
  <c r="E51" i="31" s="1"/>
  <c r="A13" i="24"/>
  <c r="K15" i="30" l="1"/>
  <c r="A6" i="31" s="1"/>
  <c r="K24" i="30"/>
  <c r="K42" i="30"/>
  <c r="K56" i="30"/>
  <c r="E47" i="31" s="1"/>
  <c r="K37" i="30"/>
  <c r="A28" i="31" s="1"/>
  <c r="K17" i="30"/>
  <c r="C8" i="31" s="1"/>
  <c r="K52" i="30"/>
  <c r="E43" i="31" s="1"/>
  <c r="K54" i="30"/>
  <c r="B45" i="31" s="1"/>
  <c r="K44" i="30"/>
  <c r="A35" i="31" s="1"/>
  <c r="K49" i="30"/>
  <c r="A40" i="31" s="1"/>
  <c r="K30" i="30"/>
  <c r="B21" i="31" s="1"/>
  <c r="K39" i="30"/>
  <c r="D30" i="31" s="1"/>
  <c r="K13" i="30"/>
  <c r="K25" i="30"/>
  <c r="A16" i="31" s="1"/>
  <c r="K16" i="30"/>
  <c r="B7" i="31" s="1"/>
  <c r="K51" i="30"/>
  <c r="E42" i="31" s="1"/>
  <c r="K36" i="30"/>
  <c r="D27" i="31" s="1"/>
  <c r="K21" i="30"/>
  <c r="E12" i="31" s="1"/>
  <c r="K22" i="30"/>
  <c r="D13" i="31" s="1"/>
  <c r="C16" i="31"/>
  <c r="E20" i="31"/>
  <c r="D20" i="31"/>
  <c r="C20" i="31"/>
  <c r="B20" i="31"/>
  <c r="C18" i="31"/>
  <c r="B18" i="31"/>
  <c r="B48" i="31"/>
  <c r="A48" i="31"/>
  <c r="A14" i="31"/>
  <c r="D6" i="31"/>
  <c r="D14" i="31"/>
  <c r="E48" i="31"/>
  <c r="A19" i="31"/>
  <c r="A11" i="31"/>
  <c r="D48" i="31"/>
  <c r="D43" i="31"/>
  <c r="D51" i="31"/>
  <c r="B26" i="31"/>
  <c r="A51" i="31"/>
  <c r="C34" i="31"/>
  <c r="A26" i="31"/>
  <c r="D18" i="31"/>
  <c r="C14" i="31"/>
  <c r="B34" i="31"/>
  <c r="E33" i="31"/>
  <c r="C6" i="31"/>
  <c r="A41" i="31"/>
  <c r="A33" i="31"/>
  <c r="E28" i="31"/>
  <c r="B6" i="31"/>
  <c r="B8" i="31"/>
  <c r="K58" i="30"/>
  <c r="C49" i="31" s="1"/>
  <c r="B12" i="31"/>
  <c r="K34" i="30"/>
  <c r="D25" i="31" s="1"/>
  <c r="E27" i="31"/>
  <c r="E11" i="31"/>
  <c r="D19" i="31"/>
  <c r="D15" i="31"/>
  <c r="D11" i="31"/>
  <c r="K48" i="30"/>
  <c r="K41" i="30"/>
  <c r="K33" i="30"/>
  <c r="K26" i="30"/>
  <c r="E17" i="31" s="1"/>
  <c r="K18" i="30"/>
  <c r="E9" i="31" s="1"/>
  <c r="C51" i="31"/>
  <c r="C19" i="31"/>
  <c r="C15" i="31"/>
  <c r="C11" i="31"/>
  <c r="K55" i="30"/>
  <c r="D46" i="31" s="1"/>
  <c r="K40" i="30"/>
  <c r="A31" i="31" s="1"/>
  <c r="K32" i="30"/>
  <c r="C23" i="31" s="1"/>
  <c r="B51" i="31"/>
  <c r="B19" i="31"/>
  <c r="B15" i="31"/>
  <c r="B11" i="31"/>
  <c r="K19" i="30"/>
  <c r="E10" i="31" s="1"/>
  <c r="E19" i="31"/>
  <c r="E15" i="31"/>
  <c r="A15" i="31"/>
  <c r="K47" i="30"/>
  <c r="C38" i="31" s="1"/>
  <c r="E34" i="31"/>
  <c r="E30" i="31"/>
  <c r="E26" i="31"/>
  <c r="E18" i="31"/>
  <c r="E14" i="31"/>
  <c r="E6" i="31"/>
  <c r="K31" i="30"/>
  <c r="C22" i="31" s="1"/>
  <c r="D34" i="31"/>
  <c r="D26" i="31"/>
  <c r="K38" i="30"/>
  <c r="D29" i="31" s="1"/>
  <c r="A34" i="31"/>
  <c r="D33" i="31"/>
  <c r="K53" i="30"/>
  <c r="A44" i="31" s="1"/>
  <c r="K46" i="30"/>
  <c r="C37" i="31" s="1"/>
  <c r="A30" i="31"/>
  <c r="E41" i="31"/>
  <c r="E37" i="31"/>
  <c r="K45" i="30"/>
  <c r="A36" i="31" s="1"/>
  <c r="D41" i="31"/>
  <c r="C45" i="31"/>
  <c r="C41" i="31"/>
  <c r="C33" i="31"/>
  <c r="C21" i="31"/>
  <c r="K14" i="30"/>
  <c r="C5" i="31" s="1"/>
  <c r="B41" i="31"/>
  <c r="B33" i="31"/>
  <c r="K59" i="30"/>
  <c r="E50" i="31" s="1"/>
  <c r="I11" i="30"/>
  <c r="B6" i="27"/>
  <c r="B5" i="27"/>
  <c r="B4" i="27"/>
  <c r="B3" i="27"/>
  <c r="B2" i="27"/>
  <c r="B3" i="31"/>
  <c r="J11" i="30"/>
  <c r="A13" i="31" l="1"/>
  <c r="C27" i="31"/>
  <c r="A27" i="31"/>
  <c r="B42" i="31"/>
  <c r="D7" i="31"/>
  <c r="B13" i="31"/>
  <c r="B29" i="31"/>
  <c r="B30" i="31"/>
  <c r="B27" i="31"/>
  <c r="E7" i="31"/>
  <c r="E13" i="31"/>
  <c r="C30" i="31"/>
  <c r="D16" i="31"/>
  <c r="E16" i="31"/>
  <c r="A12" i="31"/>
  <c r="B47" i="31"/>
  <c r="A43" i="31"/>
  <c r="E40" i="31"/>
  <c r="D21" i="31"/>
  <c r="B43" i="31"/>
  <c r="D45" i="31"/>
  <c r="D35" i="31"/>
  <c r="B35" i="31"/>
  <c r="E35" i="31"/>
  <c r="A45" i="31"/>
  <c r="B40" i="31"/>
  <c r="D28" i="31"/>
  <c r="B28" i="31"/>
  <c r="E45" i="31"/>
  <c r="A21" i="31"/>
  <c r="C28" i="31"/>
  <c r="E21" i="31"/>
  <c r="A47" i="31"/>
  <c r="C12" i="31"/>
  <c r="C40" i="31"/>
  <c r="B25" i="31"/>
  <c r="C35" i="31"/>
  <c r="C43" i="31"/>
  <c r="C47" i="31"/>
  <c r="E8" i="31"/>
  <c r="A42" i="31"/>
  <c r="D8" i="31"/>
  <c r="D40" i="31"/>
  <c r="E46" i="31"/>
  <c r="D12" i="31"/>
  <c r="D47" i="31"/>
  <c r="A8" i="31"/>
  <c r="B16" i="31"/>
  <c r="C29" i="31"/>
  <c r="A7" i="31"/>
  <c r="C7" i="31"/>
  <c r="C13" i="31"/>
  <c r="C42" i="31"/>
  <c r="D42" i="31"/>
  <c r="D49" i="31"/>
  <c r="B37" i="31"/>
  <c r="E38" i="31"/>
  <c r="D50" i="31"/>
  <c r="D10" i="31"/>
  <c r="C9" i="31"/>
  <c r="C17" i="31"/>
  <c r="B38" i="31"/>
  <c r="A29" i="31"/>
  <c r="D22" i="31"/>
  <c r="E29" i="31"/>
  <c r="B49" i="31"/>
  <c r="E49" i="31"/>
  <c r="A9" i="31"/>
  <c r="A17" i="31"/>
  <c r="A25" i="31"/>
  <c r="E22" i="31"/>
  <c r="D17" i="31"/>
  <c r="E25" i="31"/>
  <c r="A37" i="31"/>
  <c r="D9" i="31"/>
  <c r="B9" i="31"/>
  <c r="B22" i="31"/>
  <c r="A22" i="31"/>
  <c r="D37" i="31"/>
  <c r="B17" i="31"/>
  <c r="B5" i="31"/>
  <c r="D38" i="31"/>
  <c r="C25" i="31"/>
  <c r="B10" i="31"/>
  <c r="C10" i="31"/>
  <c r="A10" i="31"/>
  <c r="E24" i="31"/>
  <c r="B24" i="31"/>
  <c r="D24" i="31"/>
  <c r="A24" i="31"/>
  <c r="C24" i="31"/>
  <c r="E32" i="31"/>
  <c r="A32" i="31"/>
  <c r="B32" i="31"/>
  <c r="C32" i="31"/>
  <c r="D32" i="31"/>
  <c r="D23" i="31"/>
  <c r="E23" i="31"/>
  <c r="A5" i="31"/>
  <c r="D44" i="31"/>
  <c r="E44" i="31"/>
  <c r="B23" i="31"/>
  <c r="E31" i="31"/>
  <c r="D31" i="31"/>
  <c r="A38" i="31"/>
  <c r="B44" i="31"/>
  <c r="C44" i="31"/>
  <c r="A49" i="31"/>
  <c r="D39" i="31"/>
  <c r="E39" i="31"/>
  <c r="B36" i="31"/>
  <c r="C36" i="31"/>
  <c r="D36" i="31"/>
  <c r="E36" i="31"/>
  <c r="A46" i="31"/>
  <c r="C46" i="31"/>
  <c r="B46" i="31"/>
  <c r="D5" i="31"/>
  <c r="E5" i="31"/>
  <c r="C31" i="31"/>
  <c r="C39" i="31"/>
  <c r="B50" i="31"/>
  <c r="A50" i="31"/>
  <c r="C50" i="31"/>
  <c r="A39" i="31"/>
  <c r="B31" i="31"/>
  <c r="B39" i="31"/>
  <c r="A23" i="31"/>
  <c r="C4" i="31"/>
  <c r="K11" i="30"/>
  <c r="D2" i="31" s="1"/>
  <c r="D3" i="31"/>
  <c r="C3" i="31"/>
  <c r="A3" i="31"/>
  <c r="E3" i="31"/>
  <c r="D4" i="31" l="1"/>
  <c r="A4" i="31"/>
  <c r="E4" i="31"/>
  <c r="B4" i="31"/>
  <c r="B2" i="31"/>
  <c r="E5" i="30"/>
  <c r="Q50" i="18" s="1"/>
  <c r="A2" i="31"/>
  <c r="E2" i="31"/>
  <c r="C2" i="31"/>
  <c r="F6" i="8"/>
  <c r="E6" i="8"/>
  <c r="Q95" i="18" l="1"/>
  <c r="Q92" i="18"/>
  <c r="B40" i="7" s="1"/>
  <c r="G41" i="7"/>
  <c r="F41" i="7"/>
  <c r="G40" i="7"/>
  <c r="F40" i="7"/>
  <c r="O116" i="11"/>
  <c r="H41" i="7" s="1"/>
  <c r="O113" i="11"/>
  <c r="H40" i="7" s="1"/>
  <c r="D6" i="8"/>
  <c r="C6" i="8"/>
  <c r="B6" i="8"/>
  <c r="B41" i="7" l="1"/>
  <c r="B2" i="4"/>
  <c r="B2" i="18"/>
  <c r="F1" i="9"/>
  <c r="O49" i="1" l="1"/>
  <c r="O47" i="1"/>
  <c r="O46" i="1"/>
  <c r="O45" i="1"/>
  <c r="D1" i="9"/>
  <c r="A14" i="24" l="1"/>
  <c r="A12" i="24"/>
  <c r="A11" i="24"/>
  <c r="O110" i="11" l="1"/>
  <c r="O107" i="11"/>
  <c r="G16" i="7" l="1"/>
  <c r="F16" i="7"/>
  <c r="O41" i="11"/>
  <c r="H16" i="7" s="1"/>
  <c r="U21" i="18" l="1"/>
  <c r="Q20" i="18"/>
  <c r="B16" i="7" s="1"/>
  <c r="Q64" i="18"/>
  <c r="L41" i="11" l="1"/>
  <c r="R20" i="18"/>
  <c r="A6" i="29" s="1"/>
  <c r="D6" i="29" s="1"/>
  <c r="F6" i="29" l="1"/>
  <c r="C6" i="29"/>
  <c r="I6" i="29"/>
  <c r="E6" i="29"/>
  <c r="K6" i="29"/>
  <c r="J6" i="29"/>
  <c r="L6" i="29"/>
  <c r="G6" i="29"/>
  <c r="M6" i="29"/>
  <c r="H6" i="29"/>
  <c r="M41" i="11"/>
  <c r="N41" i="11" s="1"/>
  <c r="E16" i="7" s="1"/>
  <c r="O38" i="1"/>
  <c r="G39" i="7" l="1"/>
  <c r="G38" i="7"/>
  <c r="F39" i="7"/>
  <c r="F38" i="7"/>
  <c r="C39" i="7"/>
  <c r="C38" i="7"/>
  <c r="B39" i="7"/>
  <c r="B38" i="7"/>
  <c r="G34" i="7" l="1"/>
  <c r="F34" i="7"/>
  <c r="C34" i="7"/>
  <c r="C33" i="7"/>
  <c r="B34" i="7"/>
  <c r="B33" i="7"/>
  <c r="Q42" i="18" l="1"/>
  <c r="H39" i="7" l="1"/>
  <c r="H38" i="7"/>
  <c r="O104" i="11"/>
  <c r="Q91" i="18" l="1"/>
  <c r="R89" i="18" s="1"/>
  <c r="M110" i="11" s="1"/>
  <c r="Q88" i="18"/>
  <c r="R86" i="18" s="1"/>
  <c r="N110" i="11" l="1"/>
  <c r="E39" i="7" s="1"/>
  <c r="A29" i="29"/>
  <c r="M107" i="11"/>
  <c r="N107" i="11" s="1"/>
  <c r="E38" i="7" s="1"/>
  <c r="A28" i="29"/>
  <c r="D39" i="7"/>
  <c r="D38" i="7"/>
  <c r="L110" i="11"/>
  <c r="L107" i="11"/>
  <c r="Q79" i="18"/>
  <c r="R77" i="18" s="1"/>
  <c r="F29" i="29" l="1"/>
  <c r="J29" i="29"/>
  <c r="H29" i="29"/>
  <c r="G29" i="29"/>
  <c r="M29" i="29"/>
  <c r="D29" i="29"/>
  <c r="C29" i="29"/>
  <c r="I29" i="29"/>
  <c r="E29" i="29"/>
  <c r="L29" i="29"/>
  <c r="K29" i="29"/>
  <c r="F28" i="29"/>
  <c r="H28" i="29"/>
  <c r="K28" i="29"/>
  <c r="D28" i="29"/>
  <c r="G28" i="29"/>
  <c r="I28" i="29"/>
  <c r="C28" i="29"/>
  <c r="L28" i="29"/>
  <c r="E28" i="29"/>
  <c r="J28" i="29"/>
  <c r="M28" i="29"/>
  <c r="G37" i="7"/>
  <c r="F37" i="7"/>
  <c r="C37" i="7" l="1"/>
  <c r="B37" i="7"/>
  <c r="D40" i="1" l="1"/>
  <c r="D51" i="1" s="1"/>
  <c r="H37" i="7" l="1"/>
  <c r="Q85" i="18" l="1"/>
  <c r="R83" i="18" l="1"/>
  <c r="M104" i="11" s="1"/>
  <c r="N104" i="11" s="1"/>
  <c r="D37" i="7"/>
  <c r="L104" i="11"/>
  <c r="Q31" i="18"/>
  <c r="R29" i="18" s="1"/>
  <c r="Q34" i="18"/>
  <c r="R32" i="18" s="1"/>
  <c r="E37" i="7" l="1"/>
  <c r="A27" i="29"/>
  <c r="M53" i="11"/>
  <c r="J27" i="29" l="1"/>
  <c r="F27" i="29"/>
  <c r="M27" i="29"/>
  <c r="I27" i="29"/>
  <c r="E27" i="29"/>
  <c r="L27" i="29"/>
  <c r="H27" i="29"/>
  <c r="D27" i="29"/>
  <c r="K27" i="29"/>
  <c r="G27" i="29"/>
  <c r="C27" i="29"/>
  <c r="A15" i="24"/>
  <c r="M98" i="11" l="1"/>
  <c r="O101" i="11"/>
  <c r="O98" i="11"/>
  <c r="G21" i="7"/>
  <c r="F21" i="7"/>
  <c r="B21" i="7"/>
  <c r="G20" i="7"/>
  <c r="F20" i="7"/>
  <c r="B20" i="7"/>
  <c r="O56" i="11"/>
  <c r="O53" i="11"/>
  <c r="H20" i="7" s="1"/>
  <c r="L52" i="4" l="1"/>
  <c r="L51" i="4"/>
  <c r="L50" i="4"/>
  <c r="L49" i="4"/>
  <c r="L48" i="4"/>
  <c r="L47" i="4" l="1"/>
  <c r="L46" i="4"/>
  <c r="L45" i="4"/>
  <c r="L44" i="4"/>
  <c r="A18" i="24" l="1"/>
  <c r="A19" i="24"/>
  <c r="A17" i="24"/>
  <c r="A16" i="24"/>
  <c r="Q82" i="18" l="1"/>
  <c r="R80" i="18" s="1"/>
  <c r="Q76" i="18"/>
  <c r="Q73" i="18"/>
  <c r="R71" i="18" s="1"/>
  <c r="M92" i="11" s="1"/>
  <c r="Q70" i="18"/>
  <c r="D32" i="7" s="1"/>
  <c r="Q25" i="18"/>
  <c r="R23" i="18" s="1"/>
  <c r="R68" i="18" l="1"/>
  <c r="R74" i="18"/>
  <c r="M95" i="11" s="1"/>
  <c r="D34" i="7"/>
  <c r="A25" i="29"/>
  <c r="N98" i="11"/>
  <c r="D33" i="7"/>
  <c r="D35" i="7"/>
  <c r="D36" i="7"/>
  <c r="D17" i="7"/>
  <c r="G36" i="7"/>
  <c r="F36" i="7"/>
  <c r="C36" i="7"/>
  <c r="B36" i="7"/>
  <c r="G35" i="7"/>
  <c r="F35" i="7"/>
  <c r="C35" i="7"/>
  <c r="B35" i="7"/>
  <c r="A22" i="29" l="1"/>
  <c r="J22" i="29" s="1"/>
  <c r="M89" i="11"/>
  <c r="A26" i="29"/>
  <c r="C26" i="29" s="1"/>
  <c r="M101" i="11"/>
  <c r="N101" i="11" s="1"/>
  <c r="A24" i="29"/>
  <c r="E24" i="29" s="1"/>
  <c r="A23" i="29"/>
  <c r="H23" i="29" s="1"/>
  <c r="C25" i="29"/>
  <c r="J25" i="29"/>
  <c r="M25" i="29"/>
  <c r="G25" i="29"/>
  <c r="D25" i="29"/>
  <c r="I25" i="29"/>
  <c r="L25" i="29"/>
  <c r="H25" i="29"/>
  <c r="F25" i="29"/>
  <c r="E25" i="29"/>
  <c r="K25" i="29"/>
  <c r="C18" i="7"/>
  <c r="B18" i="7"/>
  <c r="K22" i="29" l="1"/>
  <c r="G22" i="29"/>
  <c r="F22" i="29"/>
  <c r="L22" i="29"/>
  <c r="D22" i="29"/>
  <c r="C22" i="29"/>
  <c r="I22" i="29"/>
  <c r="E22" i="29"/>
  <c r="H22" i="29"/>
  <c r="M22" i="29"/>
  <c r="L26" i="29"/>
  <c r="F26" i="29"/>
  <c r="G26" i="29"/>
  <c r="E26" i="29"/>
  <c r="H26" i="29"/>
  <c r="I26" i="29"/>
  <c r="K26" i="29"/>
  <c r="J26" i="29"/>
  <c r="D26" i="29"/>
  <c r="M26" i="29"/>
  <c r="F24" i="29"/>
  <c r="M24" i="29"/>
  <c r="D24" i="29"/>
  <c r="I24" i="29"/>
  <c r="J24" i="29"/>
  <c r="C24" i="29"/>
  <c r="L24" i="29"/>
  <c r="H24" i="29"/>
  <c r="K24" i="29"/>
  <c r="G24" i="29"/>
  <c r="M23" i="29"/>
  <c r="D23" i="29"/>
  <c r="L23" i="29"/>
  <c r="I23" i="29"/>
  <c r="J23" i="29"/>
  <c r="G23" i="29"/>
  <c r="C23" i="29"/>
  <c r="K23" i="29"/>
  <c r="E23" i="29"/>
  <c r="F23" i="29"/>
  <c r="C14" i="24" l="1"/>
  <c r="D14" i="24"/>
  <c r="E14" i="24"/>
  <c r="F14" i="24"/>
  <c r="G14" i="24"/>
  <c r="H14" i="24"/>
  <c r="I14" i="24"/>
  <c r="J14" i="24"/>
  <c r="K14" i="24"/>
  <c r="L14" i="24"/>
  <c r="C11" i="24"/>
  <c r="D11" i="24"/>
  <c r="E11" i="24"/>
  <c r="F11" i="24"/>
  <c r="G11" i="24"/>
  <c r="H11" i="24"/>
  <c r="I11" i="24"/>
  <c r="J11" i="24"/>
  <c r="K11" i="24"/>
  <c r="L11" i="24"/>
  <c r="C12" i="24"/>
  <c r="D12" i="24"/>
  <c r="E12" i="24"/>
  <c r="F12" i="24"/>
  <c r="G12" i="24"/>
  <c r="H12" i="24"/>
  <c r="I12" i="24"/>
  <c r="J12" i="24"/>
  <c r="K12" i="24"/>
  <c r="L12" i="24"/>
  <c r="C13" i="24"/>
  <c r="D13" i="24"/>
  <c r="E13" i="24"/>
  <c r="F13" i="24"/>
  <c r="G13" i="24"/>
  <c r="H13" i="24"/>
  <c r="I13" i="24"/>
  <c r="J13" i="24"/>
  <c r="K13" i="24"/>
  <c r="L13" i="24"/>
  <c r="C3" i="24"/>
  <c r="D3" i="24"/>
  <c r="E3" i="24"/>
  <c r="F3" i="24"/>
  <c r="G3" i="24"/>
  <c r="H3" i="24"/>
  <c r="I3" i="24"/>
  <c r="J3" i="24"/>
  <c r="K3" i="24"/>
  <c r="L3" i="24"/>
  <c r="C4" i="24"/>
  <c r="D4" i="24"/>
  <c r="E4" i="24"/>
  <c r="F4" i="24"/>
  <c r="G4" i="24"/>
  <c r="H4" i="24"/>
  <c r="I4" i="24"/>
  <c r="J4" i="24"/>
  <c r="K4" i="24"/>
  <c r="L4" i="24"/>
  <c r="C5" i="24"/>
  <c r="D5" i="24"/>
  <c r="E5" i="24"/>
  <c r="F5" i="24"/>
  <c r="G5" i="24"/>
  <c r="H5" i="24"/>
  <c r="I5" i="24"/>
  <c r="J5" i="24"/>
  <c r="K5" i="24"/>
  <c r="L5" i="24"/>
  <c r="C6" i="24"/>
  <c r="D6" i="24"/>
  <c r="E6" i="24"/>
  <c r="F6" i="24"/>
  <c r="G6" i="24"/>
  <c r="H6" i="24"/>
  <c r="I6" i="24"/>
  <c r="J6" i="24"/>
  <c r="K6" i="24"/>
  <c r="L6" i="24"/>
  <c r="C7" i="24"/>
  <c r="D7" i="24"/>
  <c r="E7" i="24"/>
  <c r="F7" i="24"/>
  <c r="G7" i="24"/>
  <c r="H7" i="24"/>
  <c r="I7" i="24"/>
  <c r="J7" i="24"/>
  <c r="K7" i="24"/>
  <c r="L7" i="24"/>
  <c r="C8" i="24"/>
  <c r="D8" i="24"/>
  <c r="E8" i="24"/>
  <c r="F8" i="24"/>
  <c r="G8" i="24"/>
  <c r="H8" i="24"/>
  <c r="I8" i="24"/>
  <c r="J8" i="24"/>
  <c r="K8" i="24"/>
  <c r="L8" i="24"/>
  <c r="D10" i="24"/>
  <c r="E10" i="24"/>
  <c r="F10" i="24"/>
  <c r="G10" i="24"/>
  <c r="H10" i="24"/>
  <c r="I10" i="24"/>
  <c r="J10" i="24"/>
  <c r="K10" i="24"/>
  <c r="L10" i="24"/>
  <c r="B3" i="24"/>
  <c r="B4" i="24"/>
  <c r="B5" i="24"/>
  <c r="B8" i="24"/>
  <c r="C2" i="24"/>
  <c r="D2" i="24"/>
  <c r="E2" i="24"/>
  <c r="F2" i="24"/>
  <c r="G2" i="24"/>
  <c r="H2" i="24"/>
  <c r="I2" i="24"/>
  <c r="J2" i="24"/>
  <c r="K2" i="24"/>
  <c r="L2" i="24"/>
  <c r="B2" i="24"/>
  <c r="A10" i="24"/>
  <c r="A9" i="24"/>
  <c r="A8" i="24"/>
  <c r="A7" i="24"/>
  <c r="A6" i="24"/>
  <c r="A5" i="24"/>
  <c r="A4" i="24"/>
  <c r="A3" i="24"/>
  <c r="A2" i="24"/>
  <c r="M1" i="24"/>
  <c r="L1" i="24"/>
  <c r="K1" i="24"/>
  <c r="J1" i="24"/>
  <c r="F1" i="24"/>
  <c r="I1" i="24"/>
  <c r="H1" i="24"/>
  <c r="G1" i="24"/>
  <c r="E1" i="24"/>
  <c r="D1" i="24"/>
  <c r="C1" i="24"/>
  <c r="B1" i="24"/>
  <c r="A1" i="24"/>
  <c r="H36" i="7" l="1"/>
  <c r="Q43" i="18"/>
  <c r="Q38" i="18"/>
  <c r="O33" i="1"/>
  <c r="Q39" i="18" l="1"/>
  <c r="Q40" i="18" s="1"/>
  <c r="Q96" i="18"/>
  <c r="Q97" i="18" s="1"/>
  <c r="R95" i="18" s="1"/>
  <c r="A31" i="29" s="1"/>
  <c r="R41" i="18"/>
  <c r="M62" i="11" s="1"/>
  <c r="M2" i="24"/>
  <c r="Q11" i="18"/>
  <c r="R11" i="18" s="1"/>
  <c r="A3" i="29" s="1"/>
  <c r="D3" i="29" s="1"/>
  <c r="U35" i="18"/>
  <c r="Q36" i="18"/>
  <c r="M12" i="24"/>
  <c r="O42" i="1"/>
  <c r="M10" i="24" s="1"/>
  <c r="N40" i="1"/>
  <c r="O39" i="1"/>
  <c r="C20" i="7"/>
  <c r="O37" i="1"/>
  <c r="M6" i="24" s="1"/>
  <c r="O36" i="1"/>
  <c r="M5" i="24" s="1"/>
  <c r="O35" i="1"/>
  <c r="O34" i="1"/>
  <c r="E40" i="1"/>
  <c r="F40" i="1"/>
  <c r="G40" i="1"/>
  <c r="N54" i="1" s="1"/>
  <c r="H40" i="1"/>
  <c r="N55" i="1" s="1"/>
  <c r="I40" i="1"/>
  <c r="J40" i="1"/>
  <c r="U63" i="18" s="1"/>
  <c r="K40" i="1"/>
  <c r="L40" i="1"/>
  <c r="M40" i="1"/>
  <c r="J31" i="29" l="1"/>
  <c r="F31" i="29"/>
  <c r="D31" i="29"/>
  <c r="E31" i="29"/>
  <c r="H31" i="29"/>
  <c r="C31" i="29"/>
  <c r="M31" i="29"/>
  <c r="K31" i="29"/>
  <c r="G31" i="29"/>
  <c r="L31" i="29"/>
  <c r="I31" i="29"/>
  <c r="C41" i="7"/>
  <c r="U87" i="18"/>
  <c r="Q93" i="18"/>
  <c r="Q94" i="18" s="1"/>
  <c r="R92" i="18" s="1"/>
  <c r="A30" i="29" s="1"/>
  <c r="M8" i="24"/>
  <c r="U34" i="18"/>
  <c r="U57" i="18"/>
  <c r="U30" i="18"/>
  <c r="A13" i="29"/>
  <c r="D13" i="29" s="1"/>
  <c r="U33" i="18"/>
  <c r="U24" i="18"/>
  <c r="Q37" i="18"/>
  <c r="R35" i="18" s="1"/>
  <c r="M7" i="24"/>
  <c r="M11" i="24"/>
  <c r="C3" i="29"/>
  <c r="H3" i="29"/>
  <c r="N53" i="1"/>
  <c r="M14" i="24"/>
  <c r="M13" i="24"/>
  <c r="I9" i="24"/>
  <c r="K51" i="1"/>
  <c r="I15" i="24" s="1"/>
  <c r="H9" i="24"/>
  <c r="J51" i="1"/>
  <c r="H15" i="24" s="1"/>
  <c r="L9" i="24"/>
  <c r="N51" i="1"/>
  <c r="L15" i="24" s="1"/>
  <c r="Q14" i="18"/>
  <c r="R14" i="18" s="1"/>
  <c r="A4" i="29" s="1"/>
  <c r="D4" i="29" s="1"/>
  <c r="M3" i="24"/>
  <c r="K9" i="24"/>
  <c r="M51" i="1"/>
  <c r="K15" i="24" s="1"/>
  <c r="B15" i="24"/>
  <c r="B9" i="24"/>
  <c r="J9" i="24"/>
  <c r="L51" i="1"/>
  <c r="J15" i="24" s="1"/>
  <c r="G9" i="24"/>
  <c r="I51" i="1"/>
  <c r="G15" i="24" s="1"/>
  <c r="L18" i="24"/>
  <c r="F9" i="24"/>
  <c r="H51" i="1"/>
  <c r="F15" i="24" s="1"/>
  <c r="E9" i="24"/>
  <c r="G51" i="1"/>
  <c r="E15" i="24" s="1"/>
  <c r="D9" i="24"/>
  <c r="F51" i="1"/>
  <c r="D15" i="24" s="1"/>
  <c r="C9" i="24"/>
  <c r="E51" i="1"/>
  <c r="C15" i="24" s="1"/>
  <c r="Q17" i="18"/>
  <c r="R17" i="18" s="1"/>
  <c r="M4" i="24"/>
  <c r="Q65" i="18"/>
  <c r="B31" i="7" s="1"/>
  <c r="R62" i="18"/>
  <c r="Q59" i="18"/>
  <c r="B29" i="7" s="1"/>
  <c r="L17" i="24"/>
  <c r="O40" i="1"/>
  <c r="Q8" i="18" s="1"/>
  <c r="Q45" i="18" s="1"/>
  <c r="Q58" i="18"/>
  <c r="R56" i="18" s="1"/>
  <c r="H35" i="7"/>
  <c r="O92" i="11"/>
  <c r="H33" i="7" s="1"/>
  <c r="O95" i="11"/>
  <c r="H34" i="7" s="1"/>
  <c r="O89" i="11"/>
  <c r="H32" i="7" s="1"/>
  <c r="O62" i="11"/>
  <c r="H23" i="7" s="1"/>
  <c r="G33" i="7"/>
  <c r="G32" i="7"/>
  <c r="F33" i="7"/>
  <c r="F32" i="7"/>
  <c r="B32" i="7"/>
  <c r="G23" i="7"/>
  <c r="F23" i="7"/>
  <c r="C23" i="7"/>
  <c r="B23" i="7"/>
  <c r="B24" i="7"/>
  <c r="F24" i="7"/>
  <c r="G24" i="7"/>
  <c r="B2" i="8"/>
  <c r="B1" i="8"/>
  <c r="M24" i="4"/>
  <c r="I6" i="9" s="1"/>
  <c r="C3" i="9"/>
  <c r="D3" i="9"/>
  <c r="F3" i="9"/>
  <c r="H3" i="9"/>
  <c r="C4" i="9"/>
  <c r="D4" i="9"/>
  <c r="F4" i="9"/>
  <c r="H4" i="9"/>
  <c r="C5" i="9"/>
  <c r="D5" i="9"/>
  <c r="F5" i="9"/>
  <c r="H5" i="9"/>
  <c r="C6" i="9"/>
  <c r="D6" i="9"/>
  <c r="F6" i="9"/>
  <c r="H6" i="9"/>
  <c r="H2" i="9"/>
  <c r="F2" i="9"/>
  <c r="D2" i="9"/>
  <c r="C2" i="9"/>
  <c r="I1" i="9"/>
  <c r="H1" i="9"/>
  <c r="G1" i="9"/>
  <c r="E1" i="9"/>
  <c r="C1" i="9"/>
  <c r="B1" i="9"/>
  <c r="A1" i="9"/>
  <c r="O38" i="11"/>
  <c r="H15" i="7" s="1"/>
  <c r="O77" i="11"/>
  <c r="H28" i="7" s="1"/>
  <c r="O80" i="11"/>
  <c r="H29" i="7" s="1"/>
  <c r="O83" i="11"/>
  <c r="H30" i="7" s="1"/>
  <c r="O86" i="11"/>
  <c r="H31" i="7" s="1"/>
  <c r="O74" i="11"/>
  <c r="H27" i="7" s="1"/>
  <c r="O47" i="11"/>
  <c r="H18" i="7" s="1"/>
  <c r="O50" i="11"/>
  <c r="H19" i="7" s="1"/>
  <c r="H21" i="7"/>
  <c r="O59" i="11"/>
  <c r="H22" i="7" s="1"/>
  <c r="O65" i="11"/>
  <c r="H24" i="7" s="1"/>
  <c r="O68" i="11"/>
  <c r="H25" i="7" s="1"/>
  <c r="O71" i="11"/>
  <c r="H26" i="7" s="1"/>
  <c r="O44" i="11"/>
  <c r="H17" i="7" s="1"/>
  <c r="I87" i="4"/>
  <c r="G20" i="4"/>
  <c r="E2" i="9" s="1"/>
  <c r="I91" i="4"/>
  <c r="I90" i="4"/>
  <c r="I88" i="4"/>
  <c r="I84" i="4"/>
  <c r="I83" i="4"/>
  <c r="I82" i="4"/>
  <c r="I81" i="4"/>
  <c r="I80" i="4"/>
  <c r="F91" i="4"/>
  <c r="F90" i="4"/>
  <c r="F89" i="4"/>
  <c r="F88" i="4"/>
  <c r="F87" i="4"/>
  <c r="F84" i="4"/>
  <c r="F83" i="4"/>
  <c r="F82" i="4"/>
  <c r="F81" i="4"/>
  <c r="F80" i="4"/>
  <c r="E4" i="18"/>
  <c r="Q28" i="18"/>
  <c r="R26" i="18" s="1"/>
  <c r="D8" i="3"/>
  <c r="K8" i="3"/>
  <c r="C8" i="4"/>
  <c r="K8" i="4"/>
  <c r="J20" i="4"/>
  <c r="G2" i="9" s="1"/>
  <c r="M20" i="4"/>
  <c r="I2" i="9" s="1"/>
  <c r="G21" i="4"/>
  <c r="E3" i="9" s="1"/>
  <c r="J21" i="4"/>
  <c r="G3" i="9" s="1"/>
  <c r="M21" i="4"/>
  <c r="I3" i="9" s="1"/>
  <c r="G22" i="4"/>
  <c r="E4" i="9" s="1"/>
  <c r="J22" i="4"/>
  <c r="G4" i="9" s="1"/>
  <c r="M22" i="4"/>
  <c r="I4" i="9" s="1"/>
  <c r="G23" i="4"/>
  <c r="E5" i="9" s="1"/>
  <c r="J23" i="4"/>
  <c r="G5" i="9" s="1"/>
  <c r="M23" i="4"/>
  <c r="I5" i="9" s="1"/>
  <c r="G24" i="4"/>
  <c r="E6" i="9" s="1"/>
  <c r="J24" i="4"/>
  <c r="G6" i="9" s="1"/>
  <c r="B68" i="4"/>
  <c r="C68" i="4"/>
  <c r="D68" i="4"/>
  <c r="E68" i="4"/>
  <c r="F68" i="4"/>
  <c r="G68" i="4"/>
  <c r="H68" i="4"/>
  <c r="I68" i="4"/>
  <c r="J68" i="4"/>
  <c r="K68" i="4"/>
  <c r="L68" i="4"/>
  <c r="M68" i="4"/>
  <c r="N68" i="4"/>
  <c r="O68" i="4"/>
  <c r="P68" i="4"/>
  <c r="B69" i="4"/>
  <c r="C69" i="4"/>
  <c r="D69" i="4"/>
  <c r="E69" i="4"/>
  <c r="F69" i="4"/>
  <c r="G69" i="4"/>
  <c r="H69" i="4"/>
  <c r="I69" i="4"/>
  <c r="J69" i="4"/>
  <c r="K69" i="4"/>
  <c r="L69" i="4"/>
  <c r="M69" i="4"/>
  <c r="N69" i="4"/>
  <c r="O69" i="4"/>
  <c r="P69" i="4"/>
  <c r="B70" i="4"/>
  <c r="C70" i="4"/>
  <c r="D70" i="4"/>
  <c r="E70" i="4"/>
  <c r="F70" i="4"/>
  <c r="G70" i="4"/>
  <c r="H70" i="4"/>
  <c r="I70" i="4"/>
  <c r="J70" i="4"/>
  <c r="K70" i="4"/>
  <c r="L70" i="4"/>
  <c r="M70" i="4"/>
  <c r="N70" i="4"/>
  <c r="O70" i="4"/>
  <c r="P70" i="4"/>
  <c r="B71" i="4"/>
  <c r="C71" i="4"/>
  <c r="D71" i="4"/>
  <c r="E71" i="4"/>
  <c r="F71" i="4"/>
  <c r="G71" i="4"/>
  <c r="H71" i="4"/>
  <c r="I71" i="4"/>
  <c r="J71" i="4"/>
  <c r="K71" i="4"/>
  <c r="L71" i="4"/>
  <c r="M71" i="4"/>
  <c r="N71" i="4"/>
  <c r="O71" i="4"/>
  <c r="P71" i="4"/>
  <c r="B72" i="4"/>
  <c r="C72" i="4"/>
  <c r="D72" i="4"/>
  <c r="E72" i="4"/>
  <c r="F72" i="4"/>
  <c r="G72" i="4"/>
  <c r="H72" i="4"/>
  <c r="J72" i="4"/>
  <c r="K72" i="4"/>
  <c r="L72" i="4"/>
  <c r="M72" i="4"/>
  <c r="N72" i="4"/>
  <c r="O72" i="4"/>
  <c r="P72" i="4"/>
  <c r="B73" i="4"/>
  <c r="C73" i="4"/>
  <c r="D73" i="4"/>
  <c r="E73" i="4"/>
  <c r="F73" i="4"/>
  <c r="G73" i="4"/>
  <c r="H73" i="4"/>
  <c r="J73" i="4"/>
  <c r="K73" i="4"/>
  <c r="L73" i="4"/>
  <c r="M73" i="4"/>
  <c r="N73" i="4"/>
  <c r="O73" i="4"/>
  <c r="P73" i="4"/>
  <c r="B74" i="4"/>
  <c r="C74" i="4"/>
  <c r="D74" i="4"/>
  <c r="E74" i="4"/>
  <c r="F74" i="4"/>
  <c r="G74" i="4"/>
  <c r="H74" i="4"/>
  <c r="I74" i="4"/>
  <c r="J74" i="4"/>
  <c r="K74" i="4"/>
  <c r="L74" i="4"/>
  <c r="M74" i="4"/>
  <c r="N74" i="4"/>
  <c r="O74" i="4"/>
  <c r="P74" i="4"/>
  <c r="B75" i="4"/>
  <c r="C75" i="4"/>
  <c r="D75" i="4"/>
  <c r="E75" i="4"/>
  <c r="F75" i="4"/>
  <c r="G75" i="4"/>
  <c r="H75" i="4"/>
  <c r="I75" i="4"/>
  <c r="J75" i="4"/>
  <c r="K75" i="4"/>
  <c r="L75" i="4"/>
  <c r="M75" i="4"/>
  <c r="N75" i="4"/>
  <c r="O75" i="4"/>
  <c r="P75" i="4"/>
  <c r="B76" i="4"/>
  <c r="C76" i="4"/>
  <c r="D76" i="4"/>
  <c r="E76" i="4"/>
  <c r="F76" i="4"/>
  <c r="G76" i="4"/>
  <c r="H76" i="4"/>
  <c r="I76" i="4"/>
  <c r="J76" i="4"/>
  <c r="K76" i="4"/>
  <c r="L76" i="4"/>
  <c r="M76" i="4"/>
  <c r="N76" i="4"/>
  <c r="O76" i="4"/>
  <c r="P76" i="4"/>
  <c r="B77" i="4"/>
  <c r="C77" i="4"/>
  <c r="D77" i="4"/>
  <c r="E77" i="4"/>
  <c r="F77" i="4"/>
  <c r="G77" i="4"/>
  <c r="H77" i="4"/>
  <c r="I77" i="4"/>
  <c r="J77" i="4"/>
  <c r="K77" i="4"/>
  <c r="L77" i="4"/>
  <c r="M77" i="4"/>
  <c r="N77" i="4"/>
  <c r="O77" i="4"/>
  <c r="P77" i="4"/>
  <c r="B78" i="4"/>
  <c r="C78" i="4"/>
  <c r="D78" i="4"/>
  <c r="E78" i="4"/>
  <c r="F78" i="4"/>
  <c r="G78" i="4"/>
  <c r="H78" i="4"/>
  <c r="I78" i="4"/>
  <c r="J78" i="4"/>
  <c r="K78" i="4"/>
  <c r="L78" i="4"/>
  <c r="M78" i="4"/>
  <c r="N78" i="4"/>
  <c r="O78" i="4"/>
  <c r="P78" i="4"/>
  <c r="B79" i="4"/>
  <c r="C79" i="4"/>
  <c r="D79" i="4"/>
  <c r="E79" i="4"/>
  <c r="F79" i="4"/>
  <c r="G79" i="4"/>
  <c r="H79" i="4"/>
  <c r="I79" i="4"/>
  <c r="J79" i="4"/>
  <c r="K79" i="4"/>
  <c r="L79" i="4"/>
  <c r="M79" i="4"/>
  <c r="N79" i="4"/>
  <c r="O79" i="4"/>
  <c r="P79" i="4"/>
  <c r="B80" i="4"/>
  <c r="C80" i="4"/>
  <c r="D80" i="4"/>
  <c r="E80" i="4"/>
  <c r="G80" i="4"/>
  <c r="H80" i="4"/>
  <c r="J80" i="4"/>
  <c r="K80" i="4"/>
  <c r="L80" i="4"/>
  <c r="M80" i="4"/>
  <c r="N80" i="4"/>
  <c r="O80" i="4"/>
  <c r="P80" i="4"/>
  <c r="B81" i="4"/>
  <c r="C81" i="4"/>
  <c r="D81" i="4"/>
  <c r="E81" i="4"/>
  <c r="G81" i="4"/>
  <c r="H81" i="4"/>
  <c r="J81" i="4"/>
  <c r="K81" i="4"/>
  <c r="L81" i="4"/>
  <c r="M81" i="4"/>
  <c r="N81" i="4"/>
  <c r="O81" i="4"/>
  <c r="P81" i="4"/>
  <c r="B82" i="4"/>
  <c r="C82" i="4"/>
  <c r="D82" i="4"/>
  <c r="E82" i="4"/>
  <c r="G82" i="4"/>
  <c r="H82" i="4"/>
  <c r="J82" i="4"/>
  <c r="K82" i="4"/>
  <c r="L82" i="4"/>
  <c r="M82" i="4"/>
  <c r="N82" i="4"/>
  <c r="O82" i="4"/>
  <c r="P82" i="4"/>
  <c r="B83" i="4"/>
  <c r="C83" i="4"/>
  <c r="D83" i="4"/>
  <c r="E83" i="4"/>
  <c r="G83" i="4"/>
  <c r="H83" i="4"/>
  <c r="J83" i="4"/>
  <c r="K83" i="4"/>
  <c r="L83" i="4"/>
  <c r="M83" i="4"/>
  <c r="N83" i="4"/>
  <c r="O83" i="4"/>
  <c r="P83" i="4"/>
  <c r="B84" i="4"/>
  <c r="C84" i="4"/>
  <c r="D84" i="4"/>
  <c r="E84" i="4"/>
  <c r="G84" i="4"/>
  <c r="H84" i="4"/>
  <c r="J84" i="4"/>
  <c r="K84" i="4"/>
  <c r="L84" i="4"/>
  <c r="M84" i="4"/>
  <c r="N84" i="4"/>
  <c r="O84" i="4"/>
  <c r="P84" i="4"/>
  <c r="B85" i="4"/>
  <c r="C85" i="4"/>
  <c r="D85" i="4"/>
  <c r="E85" i="4"/>
  <c r="F85" i="4"/>
  <c r="G85" i="4"/>
  <c r="H85" i="4"/>
  <c r="I85" i="4"/>
  <c r="J85" i="4"/>
  <c r="K85" i="4"/>
  <c r="L85" i="4"/>
  <c r="M85" i="4"/>
  <c r="N85" i="4"/>
  <c r="O85" i="4"/>
  <c r="P85" i="4"/>
  <c r="B86" i="4"/>
  <c r="C86" i="4"/>
  <c r="D86" i="4"/>
  <c r="E86" i="4"/>
  <c r="F86" i="4"/>
  <c r="G86" i="4"/>
  <c r="H86" i="4"/>
  <c r="I86" i="4"/>
  <c r="J86" i="4"/>
  <c r="K86" i="4"/>
  <c r="L86" i="4"/>
  <c r="M86" i="4"/>
  <c r="N86" i="4"/>
  <c r="O86" i="4"/>
  <c r="P86" i="4"/>
  <c r="B87" i="4"/>
  <c r="C87" i="4"/>
  <c r="D87" i="4"/>
  <c r="E87" i="4"/>
  <c r="G87" i="4"/>
  <c r="H87" i="4"/>
  <c r="J87" i="4"/>
  <c r="K87" i="4"/>
  <c r="L87" i="4"/>
  <c r="M87" i="4"/>
  <c r="N87" i="4"/>
  <c r="O87" i="4"/>
  <c r="P87" i="4"/>
  <c r="B88" i="4"/>
  <c r="C88" i="4"/>
  <c r="D88" i="4"/>
  <c r="E88" i="4"/>
  <c r="G88" i="4"/>
  <c r="H88" i="4"/>
  <c r="J88" i="4"/>
  <c r="K88" i="4"/>
  <c r="L88" i="4"/>
  <c r="M88" i="4"/>
  <c r="N88" i="4"/>
  <c r="O88" i="4"/>
  <c r="P88" i="4"/>
  <c r="B89" i="4"/>
  <c r="C89" i="4"/>
  <c r="D89" i="4"/>
  <c r="E89" i="4"/>
  <c r="G89" i="4"/>
  <c r="H89" i="4"/>
  <c r="J89" i="4"/>
  <c r="K89" i="4"/>
  <c r="L89" i="4"/>
  <c r="M89" i="4"/>
  <c r="N89" i="4"/>
  <c r="O89" i="4"/>
  <c r="P89" i="4"/>
  <c r="B90" i="4"/>
  <c r="C90" i="4"/>
  <c r="D90" i="4"/>
  <c r="E90" i="4"/>
  <c r="G90" i="4"/>
  <c r="H90" i="4"/>
  <c r="J90" i="4"/>
  <c r="K90" i="4"/>
  <c r="L90" i="4"/>
  <c r="M90" i="4"/>
  <c r="N90" i="4"/>
  <c r="O90" i="4"/>
  <c r="P90" i="4"/>
  <c r="B91" i="4"/>
  <c r="C91" i="4"/>
  <c r="D91" i="4"/>
  <c r="E91" i="4"/>
  <c r="G91" i="4"/>
  <c r="H91" i="4"/>
  <c r="J91" i="4"/>
  <c r="K91" i="4"/>
  <c r="L91" i="4"/>
  <c r="M91" i="4"/>
  <c r="O91" i="4"/>
  <c r="P91" i="4"/>
  <c r="C8" i="5"/>
  <c r="G8" i="5"/>
  <c r="A68" i="16"/>
  <c r="J68" i="16" s="1"/>
  <c r="O29" i="11"/>
  <c r="H12" i="7" s="1"/>
  <c r="O32" i="11"/>
  <c r="H13" i="7" s="1"/>
  <c r="M33" i="11"/>
  <c r="M34" i="11"/>
  <c r="O35" i="11"/>
  <c r="H14" i="7" s="1"/>
  <c r="M36" i="11"/>
  <c r="M37" i="11"/>
  <c r="M81" i="11"/>
  <c r="M82" i="11"/>
  <c r="I72" i="4"/>
  <c r="I73" i="4"/>
  <c r="I89" i="4"/>
  <c r="B2" i="7"/>
  <c r="B3" i="7"/>
  <c r="F12" i="7"/>
  <c r="G12" i="7"/>
  <c r="F13" i="7"/>
  <c r="G13" i="7"/>
  <c r="F14" i="7"/>
  <c r="G14" i="7"/>
  <c r="F15" i="7"/>
  <c r="G15" i="7"/>
  <c r="B17" i="7"/>
  <c r="C17" i="7"/>
  <c r="F17" i="7"/>
  <c r="G17" i="7"/>
  <c r="F18" i="7"/>
  <c r="G18" i="7"/>
  <c r="B19" i="7"/>
  <c r="C19" i="7"/>
  <c r="G19" i="7"/>
  <c r="F22" i="7"/>
  <c r="G22" i="7"/>
  <c r="B25" i="7"/>
  <c r="F25" i="7"/>
  <c r="G25" i="7"/>
  <c r="B26" i="7"/>
  <c r="F26" i="7"/>
  <c r="G26" i="7"/>
  <c r="F27" i="7"/>
  <c r="G27" i="7"/>
  <c r="B28" i="7"/>
  <c r="C28" i="7"/>
  <c r="F28" i="7"/>
  <c r="G28" i="7"/>
  <c r="F29" i="7"/>
  <c r="G29" i="7"/>
  <c r="B30" i="7"/>
  <c r="F30" i="7"/>
  <c r="G30" i="7"/>
  <c r="F31" i="7"/>
  <c r="G31" i="7"/>
  <c r="B2" i="9"/>
  <c r="B3" i="9"/>
  <c r="B4" i="9"/>
  <c r="B5" i="9"/>
  <c r="B6" i="9"/>
  <c r="F19" i="7"/>
  <c r="E20" i="12"/>
  <c r="D20" i="12"/>
  <c r="B20" i="12"/>
  <c r="C20" i="12" s="1"/>
  <c r="F30" i="29" l="1"/>
  <c r="C30" i="29"/>
  <c r="J30" i="29"/>
  <c r="H30" i="29"/>
  <c r="I30" i="29"/>
  <c r="M30" i="29"/>
  <c r="E30" i="29"/>
  <c r="L30" i="29"/>
  <c r="G30" i="29"/>
  <c r="D30" i="29"/>
  <c r="K30" i="29"/>
  <c r="M116" i="11"/>
  <c r="N116" i="11" s="1"/>
  <c r="E41" i="7" s="1"/>
  <c r="D41" i="7"/>
  <c r="L116" i="11"/>
  <c r="C40" i="7"/>
  <c r="M113" i="11"/>
  <c r="N113" i="11" s="1"/>
  <c r="E40" i="7" s="1"/>
  <c r="M83" i="11"/>
  <c r="M77" i="11"/>
  <c r="M56" i="11"/>
  <c r="M47" i="11"/>
  <c r="L13" i="29"/>
  <c r="J13" i="29"/>
  <c r="M50" i="11"/>
  <c r="D21" i="7"/>
  <c r="C13" i="29"/>
  <c r="A10" i="29"/>
  <c r="J10" i="29" s="1"/>
  <c r="I13" i="29"/>
  <c r="K13" i="29"/>
  <c r="M13" i="29"/>
  <c r="H13" i="29"/>
  <c r="E13" i="29"/>
  <c r="G13" i="29"/>
  <c r="F13" i="29"/>
  <c r="D20" i="7"/>
  <c r="D18" i="7"/>
  <c r="C21" i="7"/>
  <c r="L56" i="11"/>
  <c r="L53" i="11"/>
  <c r="C4" i="29"/>
  <c r="H4" i="29"/>
  <c r="O53" i="1"/>
  <c r="L101" i="11"/>
  <c r="L98" i="11"/>
  <c r="E36" i="7"/>
  <c r="D19" i="7"/>
  <c r="E35" i="7"/>
  <c r="L62" i="11"/>
  <c r="L16" i="24"/>
  <c r="M9" i="24"/>
  <c r="C30" i="7"/>
  <c r="L92" i="11"/>
  <c r="O51" i="1"/>
  <c r="M15" i="24" s="1"/>
  <c r="L95" i="11"/>
  <c r="D23" i="7"/>
  <c r="B22" i="7"/>
  <c r="B14" i="7"/>
  <c r="L35" i="11"/>
  <c r="J4" i="29"/>
  <c r="M35" i="11"/>
  <c r="N35" i="11" s="1"/>
  <c r="E14" i="7" s="1"/>
  <c r="B13" i="7"/>
  <c r="L32" i="11"/>
  <c r="G68" i="16"/>
  <c r="M14" i="1" s="1"/>
  <c r="A31" i="12" s="1"/>
  <c r="B31" i="12" s="1"/>
  <c r="L50" i="11"/>
  <c r="L44" i="11"/>
  <c r="H68" i="16"/>
  <c r="E68" i="16"/>
  <c r="R38" i="18"/>
  <c r="A12" i="29" s="1"/>
  <c r="D12" i="29" s="1"/>
  <c r="C22" i="7"/>
  <c r="D28" i="7"/>
  <c r="L77" i="11"/>
  <c r="F68" i="16"/>
  <c r="B22" i="1" s="1"/>
  <c r="A6" i="8" s="1"/>
  <c r="C68" i="16"/>
  <c r="C10" i="1" s="1"/>
  <c r="B68" i="16"/>
  <c r="C8" i="1" s="1"/>
  <c r="C6" i="4" s="1"/>
  <c r="I68" i="16"/>
  <c r="D68" i="16"/>
  <c r="L47" i="11"/>
  <c r="D40" i="7" l="1"/>
  <c r="L113" i="11"/>
  <c r="B3" i="8"/>
  <c r="A2" i="27"/>
  <c r="N77" i="11"/>
  <c r="E28" i="7" s="1"/>
  <c r="A18" i="29"/>
  <c r="J18" i="29" s="1"/>
  <c r="N56" i="11"/>
  <c r="E21" i="7" s="1"/>
  <c r="N50" i="11"/>
  <c r="E19" i="7" s="1"/>
  <c r="N47" i="11"/>
  <c r="E18" i="7" s="1"/>
  <c r="I10" i="29"/>
  <c r="F10" i="29"/>
  <c r="E10" i="29"/>
  <c r="C10" i="29"/>
  <c r="H10" i="29"/>
  <c r="G10" i="29"/>
  <c r="M10" i="29"/>
  <c r="L10" i="29"/>
  <c r="D10" i="29"/>
  <c r="K10" i="29"/>
  <c r="A20" i="29"/>
  <c r="N53" i="11"/>
  <c r="E20" i="7" s="1"/>
  <c r="A8" i="29"/>
  <c r="H12" i="29"/>
  <c r="C12" i="29"/>
  <c r="F12" i="29"/>
  <c r="G12" i="29"/>
  <c r="J12" i="29"/>
  <c r="I12" i="29"/>
  <c r="M12" i="29"/>
  <c r="K12" i="29"/>
  <c r="L12" i="29"/>
  <c r="E12" i="29"/>
  <c r="A11" i="29"/>
  <c r="D11" i="29" s="1"/>
  <c r="L83" i="11"/>
  <c r="Q66" i="18"/>
  <c r="Q67" i="18" s="1"/>
  <c r="R8" i="18"/>
  <c r="A9" i="29"/>
  <c r="J9" i="29" s="1"/>
  <c r="N95" i="11"/>
  <c r="E34" i="7" s="1"/>
  <c r="C32" i="7"/>
  <c r="Q51" i="18"/>
  <c r="Q52" i="18" s="1"/>
  <c r="Q46" i="18"/>
  <c r="R44" i="18" s="1"/>
  <c r="Q60" i="18"/>
  <c r="Q53" i="18"/>
  <c r="M19" i="24"/>
  <c r="N92" i="11"/>
  <c r="E33" i="7" s="1"/>
  <c r="D30" i="7"/>
  <c r="F4" i="29"/>
  <c r="E4" i="29"/>
  <c r="G4" i="29"/>
  <c r="I4" i="29"/>
  <c r="K4" i="29"/>
  <c r="M4" i="29"/>
  <c r="M32" i="11"/>
  <c r="N32" i="11" s="1"/>
  <c r="E13" i="7" s="1"/>
  <c r="N62" i="11"/>
  <c r="E23" i="7" s="1"/>
  <c r="L4" i="29"/>
  <c r="H4" i="18"/>
  <c r="D6" i="3"/>
  <c r="C6" i="5"/>
  <c r="B15" i="7"/>
  <c r="L38" i="11"/>
  <c r="A5" i="29"/>
  <c r="L59" i="11"/>
  <c r="D22" i="7"/>
  <c r="M65" i="11" l="1"/>
  <c r="A14" i="29"/>
  <c r="C18" i="29"/>
  <c r="K18" i="29"/>
  <c r="G18" i="29"/>
  <c r="H18" i="29"/>
  <c r="E18" i="29"/>
  <c r="I18" i="29"/>
  <c r="F18" i="29"/>
  <c r="M18" i="29"/>
  <c r="L18" i="29"/>
  <c r="D18" i="29"/>
  <c r="M20" i="29"/>
  <c r="J20" i="29"/>
  <c r="J11" i="29"/>
  <c r="D5" i="29"/>
  <c r="J5" i="29"/>
  <c r="D8" i="29"/>
  <c r="J8" i="29"/>
  <c r="E20" i="29"/>
  <c r="G20" i="29"/>
  <c r="L20" i="29"/>
  <c r="H34" i="27"/>
  <c r="E34" i="27" s="1"/>
  <c r="H39" i="27"/>
  <c r="E39" i="27" s="1"/>
  <c r="L8" i="29"/>
  <c r="I8" i="29"/>
  <c r="E8" i="29"/>
  <c r="H8" i="29"/>
  <c r="C8" i="29"/>
  <c r="G8" i="29"/>
  <c r="K8" i="29"/>
  <c r="F8" i="29"/>
  <c r="M8" i="29"/>
  <c r="F20" i="29"/>
  <c r="D20" i="29"/>
  <c r="I20" i="29"/>
  <c r="K20" i="29"/>
  <c r="C20" i="29"/>
  <c r="H20" i="29"/>
  <c r="L11" i="29"/>
  <c r="F11" i="29"/>
  <c r="C11" i="29"/>
  <c r="M11" i="29"/>
  <c r="I11" i="29"/>
  <c r="H11" i="29"/>
  <c r="G11" i="29"/>
  <c r="K11" i="29"/>
  <c r="E11" i="29"/>
  <c r="F9" i="29"/>
  <c r="C5" i="29"/>
  <c r="H5" i="29"/>
  <c r="C9" i="29"/>
  <c r="I9" i="29"/>
  <c r="H9" i="29"/>
  <c r="L65" i="11"/>
  <c r="D24" i="7"/>
  <c r="B27" i="7"/>
  <c r="R53" i="18"/>
  <c r="A17" i="29" s="1"/>
  <c r="D31" i="7"/>
  <c r="R65" i="18"/>
  <c r="R50" i="18"/>
  <c r="M71" i="11" s="1"/>
  <c r="L71" i="11"/>
  <c r="D26" i="7"/>
  <c r="L86" i="11"/>
  <c r="L9" i="29"/>
  <c r="K9" i="29"/>
  <c r="N83" i="11"/>
  <c r="E30" i="7" s="1"/>
  <c r="M9" i="29"/>
  <c r="D9" i="29"/>
  <c r="G9" i="29"/>
  <c r="E9" i="29"/>
  <c r="L74" i="11"/>
  <c r="A6" i="27"/>
  <c r="H43" i="27" s="1"/>
  <c r="E43" i="27" s="1"/>
  <c r="B21" i="4"/>
  <c r="A3" i="9" s="1"/>
  <c r="B24" i="4"/>
  <c r="G26" i="4" s="1"/>
  <c r="B20" i="4"/>
  <c r="A2" i="9" s="1"/>
  <c r="A4" i="27"/>
  <c r="H41" i="27" s="1"/>
  <c r="E41" i="27" s="1"/>
  <c r="A3" i="27"/>
  <c r="B22" i="4"/>
  <c r="A4" i="9" s="1"/>
  <c r="A5" i="27"/>
  <c r="B23" i="4"/>
  <c r="A5" i="9" s="1"/>
  <c r="E3" i="29"/>
  <c r="K3" i="29"/>
  <c r="F3" i="29"/>
  <c r="I3" i="29"/>
  <c r="L3" i="29"/>
  <c r="M3" i="29"/>
  <c r="J3" i="29"/>
  <c r="G3" i="29"/>
  <c r="M38" i="11"/>
  <c r="N38" i="11" s="1"/>
  <c r="E15" i="7" s="1"/>
  <c r="M59" i="11"/>
  <c r="N59" i="11" s="1"/>
  <c r="E22" i="7" s="1"/>
  <c r="C26" i="7"/>
  <c r="B12" i="7"/>
  <c r="L29" i="11"/>
  <c r="C29" i="7"/>
  <c r="Q61" i="18"/>
  <c r="R59" i="18" s="1"/>
  <c r="A19" i="29" s="1"/>
  <c r="C19" i="29" s="1"/>
  <c r="H17" i="27"/>
  <c r="E17" i="27" s="1"/>
  <c r="H12" i="27"/>
  <c r="E12" i="27" s="1"/>
  <c r="H2" i="27"/>
  <c r="E2" i="27" s="1"/>
  <c r="H7" i="27"/>
  <c r="E7" i="27" s="1"/>
  <c r="Q48" i="18"/>
  <c r="C24" i="7"/>
  <c r="C31" i="7"/>
  <c r="C14" i="29" l="1"/>
  <c r="E14" i="29"/>
  <c r="M14" i="29"/>
  <c r="L14" i="29"/>
  <c r="H14" i="29"/>
  <c r="G14" i="29"/>
  <c r="F14" i="29"/>
  <c r="K14" i="29"/>
  <c r="J14" i="29"/>
  <c r="I14" i="29"/>
  <c r="D14" i="29"/>
  <c r="C17" i="29"/>
  <c r="J17" i="29"/>
  <c r="I43" i="27"/>
  <c r="A16" i="29"/>
  <c r="C16" i="29" s="1"/>
  <c r="H28" i="27"/>
  <c r="E28" i="27" s="1"/>
  <c r="H22" i="27"/>
  <c r="E22" i="27" s="1"/>
  <c r="H35" i="27"/>
  <c r="E35" i="27" s="1"/>
  <c r="H40" i="27"/>
  <c r="E40" i="27" s="1"/>
  <c r="H11" i="27"/>
  <c r="E11" i="27" s="1"/>
  <c r="H33" i="27"/>
  <c r="E33" i="27" s="1"/>
  <c r="H38" i="27"/>
  <c r="E38" i="27" s="1"/>
  <c r="H10" i="27"/>
  <c r="E10" i="27" s="1"/>
  <c r="H37" i="27"/>
  <c r="E37" i="27" s="1"/>
  <c r="H42" i="27"/>
  <c r="E42" i="27" s="1"/>
  <c r="H32" i="27"/>
  <c r="E32" i="27" s="1"/>
  <c r="H4" i="27"/>
  <c r="E4" i="27" s="1"/>
  <c r="H36" i="27"/>
  <c r="E36" i="27" s="1"/>
  <c r="H31" i="27"/>
  <c r="E31" i="27" s="1"/>
  <c r="H19" i="29"/>
  <c r="D19" i="29"/>
  <c r="F19" i="29"/>
  <c r="K19" i="29"/>
  <c r="J19" i="29"/>
  <c r="L19" i="29"/>
  <c r="E19" i="29"/>
  <c r="G19" i="29"/>
  <c r="M19" i="29"/>
  <c r="I19" i="29"/>
  <c r="M86" i="11"/>
  <c r="N86" i="11" s="1"/>
  <c r="E31" i="7" s="1"/>
  <c r="A21" i="29"/>
  <c r="C21" i="29" s="1"/>
  <c r="D17" i="29"/>
  <c r="F17" i="29"/>
  <c r="E17" i="29"/>
  <c r="H17" i="29"/>
  <c r="G17" i="29"/>
  <c r="I17" i="29"/>
  <c r="K17" i="29"/>
  <c r="M17" i="29"/>
  <c r="L17" i="29"/>
  <c r="Q49" i="18"/>
  <c r="H16" i="27"/>
  <c r="E16" i="27" s="1"/>
  <c r="N65" i="11"/>
  <c r="E24" i="7" s="1"/>
  <c r="L89" i="11"/>
  <c r="N71" i="11"/>
  <c r="E26" i="7" s="1"/>
  <c r="M74" i="11"/>
  <c r="N74" i="11" s="1"/>
  <c r="E27" i="7" s="1"/>
  <c r="H6" i="27"/>
  <c r="E6" i="27" s="1"/>
  <c r="H21" i="27"/>
  <c r="E21" i="27" s="1"/>
  <c r="N89" i="11"/>
  <c r="E32" i="7" s="1"/>
  <c r="A6" i="9"/>
  <c r="H3" i="27"/>
  <c r="E3" i="27" s="1"/>
  <c r="H8" i="27"/>
  <c r="E8" i="27" s="1"/>
  <c r="H20" i="27"/>
  <c r="E20" i="27" s="1"/>
  <c r="H5" i="27"/>
  <c r="E5" i="27" s="1"/>
  <c r="H13" i="27"/>
  <c r="E13" i="27" s="1"/>
  <c r="H18" i="27"/>
  <c r="E18" i="27" s="1"/>
  <c r="H9" i="27"/>
  <c r="E9" i="27" s="1"/>
  <c r="H14" i="27"/>
  <c r="E14" i="27" s="1"/>
  <c r="H19" i="27"/>
  <c r="E19" i="27" s="1"/>
  <c r="H15" i="27"/>
  <c r="E15" i="27" s="1"/>
  <c r="J17" i="27"/>
  <c r="I17" i="27"/>
  <c r="G17" i="27" s="1"/>
  <c r="F17" i="27"/>
  <c r="J34" i="27"/>
  <c r="F34" i="27"/>
  <c r="F12" i="27"/>
  <c r="J12" i="27"/>
  <c r="J39" i="27"/>
  <c r="F39" i="27"/>
  <c r="C25" i="7"/>
  <c r="E5" i="29"/>
  <c r="G5" i="29"/>
  <c r="F5" i="29"/>
  <c r="I5" i="29"/>
  <c r="M5" i="29"/>
  <c r="L5" i="29"/>
  <c r="K5" i="29"/>
  <c r="F7" i="27"/>
  <c r="J7" i="27"/>
  <c r="I7" i="27"/>
  <c r="G7" i="27" s="1"/>
  <c r="J2" i="27"/>
  <c r="F2" i="27"/>
  <c r="A2" i="29"/>
  <c r="M29" i="11"/>
  <c r="N29" i="11" s="1"/>
  <c r="E12" i="7" s="1"/>
  <c r="L80" i="11"/>
  <c r="D29" i="7"/>
  <c r="F10" i="27" l="1"/>
  <c r="D16" i="29"/>
  <c r="F16" i="29"/>
  <c r="H16" i="29"/>
  <c r="E16" i="29"/>
  <c r="J16" i="29"/>
  <c r="G16" i="29"/>
  <c r="K16" i="29"/>
  <c r="M16" i="29"/>
  <c r="I16" i="29"/>
  <c r="L16" i="29"/>
  <c r="J10" i="27"/>
  <c r="F40" i="27"/>
  <c r="J40" i="27"/>
  <c r="F4" i="27"/>
  <c r="F11" i="27"/>
  <c r="J11" i="27"/>
  <c r="J4" i="27"/>
  <c r="H2" i="29"/>
  <c r="F21" i="29"/>
  <c r="D21" i="29"/>
  <c r="K21" i="29"/>
  <c r="L21" i="29"/>
  <c r="I21" i="29"/>
  <c r="J21" i="29"/>
  <c r="G21" i="29"/>
  <c r="H21" i="29"/>
  <c r="E21" i="29"/>
  <c r="M21" i="29"/>
  <c r="R47" i="18"/>
  <c r="D25" i="7"/>
  <c r="L68" i="11"/>
  <c r="J15" i="27"/>
  <c r="J31" i="27"/>
  <c r="F18" i="27"/>
  <c r="J37" i="27"/>
  <c r="I8" i="27"/>
  <c r="G8" i="27" s="1"/>
  <c r="F3" i="27"/>
  <c r="J43" i="27"/>
  <c r="J6" i="27"/>
  <c r="F38" i="27"/>
  <c r="F19" i="27"/>
  <c r="F14" i="27"/>
  <c r="J41" i="27"/>
  <c r="J13" i="27"/>
  <c r="F35" i="27"/>
  <c r="F21" i="27"/>
  <c r="F33" i="27"/>
  <c r="F16" i="27"/>
  <c r="J16" i="27"/>
  <c r="J33" i="27"/>
  <c r="F43" i="27"/>
  <c r="J21" i="27"/>
  <c r="J38" i="27"/>
  <c r="I21" i="27"/>
  <c r="G21" i="27" s="1"/>
  <c r="D25" i="12"/>
  <c r="B25" i="12"/>
  <c r="C25" i="12" s="1"/>
  <c r="E25" i="12"/>
  <c r="B15" i="12"/>
  <c r="C15" i="12" s="1"/>
  <c r="F6" i="27"/>
  <c r="J3" i="27"/>
  <c r="J8" i="27"/>
  <c r="J36" i="27"/>
  <c r="F8" i="27"/>
  <c r="E23" i="12"/>
  <c r="F32" i="27"/>
  <c r="J32" i="27"/>
  <c r="B16" i="12"/>
  <c r="C16" i="12" s="1"/>
  <c r="F37" i="27"/>
  <c r="D23" i="12"/>
  <c r="J35" i="27"/>
  <c r="F36" i="27"/>
  <c r="F42" i="27"/>
  <c r="D22" i="12"/>
  <c r="B22" i="12"/>
  <c r="C22" i="12" s="1"/>
  <c r="B23" i="12"/>
  <c r="C23" i="12" s="1"/>
  <c r="E22" i="12"/>
  <c r="F31" i="27"/>
  <c r="J42" i="27"/>
  <c r="J5" i="27"/>
  <c r="J18" i="27"/>
  <c r="D18" i="12"/>
  <c r="E15" i="12"/>
  <c r="F13" i="27"/>
  <c r="D15" i="12"/>
  <c r="E24" i="12"/>
  <c r="F5" i="27"/>
  <c r="D16" i="12"/>
  <c r="J14" i="27"/>
  <c r="J20" i="27"/>
  <c r="B18" i="12"/>
  <c r="C18" i="12" s="1"/>
  <c r="D17" i="12"/>
  <c r="I20" i="27"/>
  <c r="G20" i="27" s="1"/>
  <c r="E17" i="12"/>
  <c r="E16" i="12"/>
  <c r="F9" i="27"/>
  <c r="J9" i="27"/>
  <c r="F20" i="27"/>
  <c r="D24" i="12"/>
  <c r="F41" i="27"/>
  <c r="B17" i="12"/>
  <c r="C17" i="12" s="1"/>
  <c r="F15" i="27"/>
  <c r="B24" i="12"/>
  <c r="C24" i="12" s="1"/>
  <c r="E18" i="12"/>
  <c r="J19" i="27"/>
  <c r="M80" i="11"/>
  <c r="N80" i="11" s="1"/>
  <c r="E29" i="7" s="1"/>
  <c r="J2" i="29"/>
  <c r="D2" i="29"/>
  <c r="E2" i="29"/>
  <c r="K2" i="29"/>
  <c r="I2" i="29"/>
  <c r="G2" i="29"/>
  <c r="F2" i="29"/>
  <c r="M2" i="29"/>
  <c r="C2" i="29"/>
  <c r="L2" i="29"/>
  <c r="D19" i="12"/>
  <c r="C19" i="12" s="1"/>
  <c r="E19" i="12"/>
  <c r="F22" i="27"/>
  <c r="J22" i="27"/>
  <c r="J48" i="27" s="1"/>
  <c r="D6" i="12" s="1"/>
  <c r="D21" i="12"/>
  <c r="C21" i="12" s="1"/>
  <c r="E21" i="12"/>
  <c r="J28" i="27"/>
  <c r="F28" i="27"/>
  <c r="O12" i="27" a="1"/>
  <c r="O13" i="27" a="1"/>
  <c r="O42" i="27" a="1"/>
  <c r="M10" i="27" a="1"/>
  <c r="O15" i="27" a="1"/>
  <c r="O16" i="27" a="1"/>
  <c r="O24" i="27" a="1"/>
  <c r="O39" i="27" a="1"/>
  <c r="O33" i="27" a="1"/>
  <c r="O41" i="27" a="1"/>
  <c r="O36" i="27" a="1"/>
  <c r="O27" i="27" a="1"/>
  <c r="O7" i="27" a="1"/>
  <c r="O30" i="27" a="1"/>
  <c r="O5" i="27" a="1"/>
  <c r="O19" i="27" a="1"/>
  <c r="O28" i="27" a="1"/>
  <c r="O25" i="27" a="1"/>
  <c r="O31" i="27" a="1"/>
  <c r="O23" i="27" a="1"/>
  <c r="L12" i="27" a="1"/>
  <c r="O20" i="27" a="1"/>
  <c r="O14" i="27" a="1"/>
  <c r="O17" i="27" a="1"/>
  <c r="O3" i="27" a="1"/>
  <c r="O6" i="27" a="1"/>
  <c r="O22" i="27" a="1"/>
  <c r="O29" i="27" a="1"/>
  <c r="O11" i="27" a="1"/>
  <c r="O43" i="27" a="1"/>
  <c r="O18" i="27" a="1"/>
  <c r="O2" i="27" a="1"/>
  <c r="O40" i="27" a="1"/>
  <c r="O21" i="27" a="1"/>
  <c r="O10" i="27" a="1"/>
  <c r="O4" i="27" a="1"/>
  <c r="O34" i="27" a="1"/>
  <c r="O35" i="27" a="1"/>
  <c r="O9" i="27" a="1"/>
  <c r="O8" i="27" a="1"/>
  <c r="O26" i="27" a="1"/>
  <c r="O38" i="27" a="1"/>
  <c r="O37" i="27" a="1"/>
  <c r="O32" i="27" a="1"/>
  <c r="F5" i="11" l="1"/>
  <c r="F8" i="11" s="1"/>
  <c r="G104" i="18" s="1"/>
  <c r="D5" i="11"/>
  <c r="D8" i="11" s="1"/>
  <c r="C5" i="11"/>
  <c r="C8" i="11" s="1"/>
  <c r="G5" i="11"/>
  <c r="G8" i="11" s="1"/>
  <c r="E5" i="11"/>
  <c r="H5" i="11"/>
  <c r="H8" i="11" s="1"/>
  <c r="J45" i="27"/>
  <c r="F6" i="12" s="1"/>
  <c r="G12" i="5" s="1"/>
  <c r="A15" i="29"/>
  <c r="C15" i="29" s="1"/>
  <c r="M68" i="11"/>
  <c r="N68" i="11" s="1"/>
  <c r="E25" i="7" s="1"/>
  <c r="O23" i="27"/>
  <c r="C23" i="28" s="1"/>
  <c r="O22" i="27"/>
  <c r="C22" i="28" s="1"/>
  <c r="O41" i="27"/>
  <c r="C41" i="28" s="1"/>
  <c r="O16" i="27"/>
  <c r="C16" i="28" s="1"/>
  <c r="O20" i="27"/>
  <c r="C20" i="28" s="1"/>
  <c r="O34" i="27"/>
  <c r="C34" i="28" s="1"/>
  <c r="J47" i="27"/>
  <c r="C6" i="12" s="1"/>
  <c r="D12" i="5" s="1"/>
  <c r="J46" i="27"/>
  <c r="E6" i="12" s="1"/>
  <c r="I16" i="12" a="1"/>
  <c r="I16" i="12" s="1"/>
  <c r="J16" i="12" s="1"/>
  <c r="O25" i="27"/>
  <c r="C25" i="28" s="1"/>
  <c r="O5" i="27"/>
  <c r="C5" i="28" s="1"/>
  <c r="O38" i="27"/>
  <c r="C38" i="28" s="1"/>
  <c r="O13" i="27"/>
  <c r="C13" i="28" s="1"/>
  <c r="O43" i="27"/>
  <c r="C43" i="28" s="1"/>
  <c r="O2" i="27"/>
  <c r="C2" i="28" s="1"/>
  <c r="O8" i="27"/>
  <c r="C8" i="28" s="1"/>
  <c r="O35" i="27"/>
  <c r="C35" i="28" s="1"/>
  <c r="O40" i="27"/>
  <c r="C40" i="28" s="1"/>
  <c r="O29" i="27"/>
  <c r="C29" i="28" s="1"/>
  <c r="O14" i="27"/>
  <c r="C14" i="28" s="1"/>
  <c r="O17" i="27"/>
  <c r="C17" i="28" s="1"/>
  <c r="O26" i="27"/>
  <c r="C26" i="28" s="1"/>
  <c r="O7" i="27"/>
  <c r="C7" i="28" s="1"/>
  <c r="O12" i="27"/>
  <c r="C12" i="28" s="1"/>
  <c r="O10" i="27"/>
  <c r="C10" i="28" s="1"/>
  <c r="O11" i="27"/>
  <c r="C11" i="28" s="1"/>
  <c r="O24" i="27"/>
  <c r="C24" i="28" s="1"/>
  <c r="O39" i="27"/>
  <c r="C39" i="28" s="1"/>
  <c r="O36" i="27"/>
  <c r="C36" i="28" s="1"/>
  <c r="O30" i="27"/>
  <c r="C30" i="28" s="1"/>
  <c r="O21" i="27"/>
  <c r="C21" i="28" s="1"/>
  <c r="O27" i="27"/>
  <c r="C27" i="28" s="1"/>
  <c r="O18" i="27"/>
  <c r="C18" i="28" s="1"/>
  <c r="O31" i="27"/>
  <c r="C31" i="28" s="1"/>
  <c r="O33" i="27"/>
  <c r="C33" i="28" s="1"/>
  <c r="O42" i="27"/>
  <c r="C42" i="28" s="1"/>
  <c r="O6" i="27"/>
  <c r="C6" i="28" s="1"/>
  <c r="O4" i="27"/>
  <c r="C4" i="28" s="1"/>
  <c r="O28" i="27"/>
  <c r="C28" i="28" s="1"/>
  <c r="O32" i="27"/>
  <c r="C32" i="28" s="1"/>
  <c r="O15" i="27"/>
  <c r="C15" i="28" s="1"/>
  <c r="O9" i="27"/>
  <c r="C9" i="28" s="1"/>
  <c r="O19" i="27"/>
  <c r="C19" i="28" s="1"/>
  <c r="O37" i="27"/>
  <c r="C37" i="28" s="1"/>
  <c r="O3" i="27"/>
  <c r="C3" i="28" s="1"/>
  <c r="H17" i="12" a="1"/>
  <c r="H17" i="12" s="1"/>
  <c r="C18" i="5" s="1"/>
  <c r="I19" i="12" a="1"/>
  <c r="I19" i="12" s="1"/>
  <c r="J19" i="12" s="1"/>
  <c r="H20" i="12" a="1"/>
  <c r="H20" i="12" s="1"/>
  <c r="C21" i="5" s="1"/>
  <c r="I25" i="12" a="1"/>
  <c r="I25" i="12" s="1"/>
  <c r="J25" i="12" s="1"/>
  <c r="I22" i="12" a="1"/>
  <c r="I22" i="12" s="1"/>
  <c r="J22" i="12" s="1"/>
  <c r="H24" i="12" a="1"/>
  <c r="H24" i="12" s="1"/>
  <c r="H25" i="12" a="1"/>
  <c r="H25" i="12" s="1"/>
  <c r="I23" i="12" a="1"/>
  <c r="I23" i="12" s="1"/>
  <c r="J23" i="12" s="1"/>
  <c r="G23" i="12" a="1"/>
  <c r="G23" i="12" s="1"/>
  <c r="B24" i="5" s="1"/>
  <c r="L12" i="27"/>
  <c r="A12" i="28" s="1"/>
  <c r="M10" i="27"/>
  <c r="I17" i="12" a="1"/>
  <c r="I17" i="12" s="1"/>
  <c r="J17" i="12" s="1"/>
  <c r="H15" i="12" a="1"/>
  <c r="H15" i="12" s="1"/>
  <c r="C16" i="5" s="1"/>
  <c r="H19" i="12" a="1"/>
  <c r="H19" i="12" s="1"/>
  <c r="C20" i="5" s="1"/>
  <c r="G24" i="12" a="1"/>
  <c r="G24" i="12" s="1"/>
  <c r="G14" i="4"/>
  <c r="E12" i="5"/>
  <c r="H21" i="12" a="1"/>
  <c r="H21" i="12" s="1"/>
  <c r="C22" i="5" s="1"/>
  <c r="G20" i="12" a="1"/>
  <c r="G20" i="12" s="1"/>
  <c r="B21" i="5" s="1"/>
  <c r="I15" i="12" a="1"/>
  <c r="I15" i="12" s="1"/>
  <c r="I18" i="27" s="1"/>
  <c r="G18" i="27" s="1"/>
  <c r="H23" i="12" a="1"/>
  <c r="H23" i="12" s="1"/>
  <c r="C24" i="5" s="1"/>
  <c r="G16" i="12" a="1"/>
  <c r="G16" i="12" s="1"/>
  <c r="B17" i="5" s="1"/>
  <c r="H18" i="12" a="1"/>
  <c r="H18" i="12" s="1"/>
  <c r="C19" i="5" s="1"/>
  <c r="H22" i="12" a="1"/>
  <c r="H22" i="12" s="1"/>
  <c r="C23" i="5" s="1"/>
  <c r="I18" i="12" a="1"/>
  <c r="I18" i="12" s="1"/>
  <c r="J18" i="12" s="1"/>
  <c r="G17" i="12" a="1"/>
  <c r="G17" i="12" s="1"/>
  <c r="B18" i="5" s="1"/>
  <c r="G15" i="12" a="1"/>
  <c r="G15" i="12" s="1"/>
  <c r="B16" i="5" s="1"/>
  <c r="G22" i="12" a="1"/>
  <c r="G22" i="12" s="1"/>
  <c r="B23" i="5" s="1"/>
  <c r="G19" i="12" a="1"/>
  <c r="G19" i="12" s="1"/>
  <c r="B20" i="5" s="1"/>
  <c r="I24" i="12" a="1"/>
  <c r="I24" i="12" s="1"/>
  <c r="J24" i="12" s="1"/>
  <c r="H16" i="12" a="1"/>
  <c r="H16" i="12" s="1"/>
  <c r="C17" i="5" s="1"/>
  <c r="I20" i="12" a="1"/>
  <c r="I20" i="12" s="1"/>
  <c r="J20" i="12" s="1"/>
  <c r="G25" i="12" a="1"/>
  <c r="G25" i="12" s="1"/>
  <c r="I21" i="12" a="1"/>
  <c r="I21" i="12" s="1"/>
  <c r="J21" i="12" s="1"/>
  <c r="G18" i="12" a="1"/>
  <c r="G18" i="12" s="1"/>
  <c r="B19" i="5" s="1"/>
  <c r="G21" i="12" a="1"/>
  <c r="G21" i="12" s="1"/>
  <c r="B22" i="5" s="1"/>
  <c r="G9" i="11" l="1"/>
  <c r="G10" i="11" s="1"/>
  <c r="I16" i="27"/>
  <c r="G16" i="27" s="1"/>
  <c r="I39" i="27"/>
  <c r="G39" i="27" s="1"/>
  <c r="I14" i="27"/>
  <c r="G14" i="27" s="1"/>
  <c r="I13" i="27"/>
  <c r="G13" i="27" s="1"/>
  <c r="I15" i="29"/>
  <c r="E15" i="29"/>
  <c r="D15" i="29"/>
  <c r="K15" i="29"/>
  <c r="G15" i="29"/>
  <c r="L15" i="29"/>
  <c r="J15" i="29"/>
  <c r="H15" i="29"/>
  <c r="M15" i="29"/>
  <c r="F15" i="29"/>
  <c r="I37" i="27"/>
  <c r="G37" i="27" s="1"/>
  <c r="I15" i="27"/>
  <c r="G15" i="27" s="1"/>
  <c r="G43" i="27"/>
  <c r="I38" i="27"/>
  <c r="G38" i="27" s="1"/>
  <c r="I42" i="27"/>
  <c r="G42" i="27" s="1"/>
  <c r="I36" i="27"/>
  <c r="G36" i="27" s="1"/>
  <c r="I19" i="27"/>
  <c r="G19" i="27" s="1"/>
  <c r="I41" i="27"/>
  <c r="G41" i="27" s="1"/>
  <c r="I40" i="27"/>
  <c r="G40" i="27" s="1"/>
  <c r="I35" i="27"/>
  <c r="G35" i="27" s="1"/>
  <c r="I12" i="27"/>
  <c r="G12" i="27" s="1"/>
  <c r="I34" i="27"/>
  <c r="G34" i="27" s="1"/>
  <c r="I11" i="27"/>
  <c r="G11" i="27" s="1"/>
  <c r="I10" i="27"/>
  <c r="G10" i="27" s="1"/>
  <c r="I9" i="27"/>
  <c r="G9" i="27" s="1"/>
  <c r="I32" i="27"/>
  <c r="G32" i="27" s="1"/>
  <c r="I33" i="27"/>
  <c r="G33" i="27" s="1"/>
  <c r="I22" i="27"/>
  <c r="G22" i="27" s="1"/>
  <c r="I31" i="27"/>
  <c r="G31" i="27" s="1"/>
  <c r="D14" i="4"/>
  <c r="L14" i="4"/>
  <c r="B6" i="12"/>
  <c r="B14" i="4" s="1"/>
  <c r="B13" i="4" s="1"/>
  <c r="J14" i="4"/>
  <c r="F12" i="5"/>
  <c r="J15" i="12"/>
  <c r="I5" i="27" s="1"/>
  <c r="G5" i="27" s="1"/>
  <c r="I28" i="27" l="1"/>
  <c r="G28" i="27" s="1"/>
  <c r="I2" i="27"/>
  <c r="G2" i="27" s="1"/>
  <c r="I4" i="27"/>
  <c r="G4" i="27" s="1"/>
  <c r="C12" i="5"/>
  <c r="C11" i="5" s="1"/>
  <c r="I3" i="27"/>
  <c r="G3" i="27" s="1"/>
  <c r="I6" i="27"/>
  <c r="G6" i="27" l="1"/>
  <c r="L29" i="27" a="1"/>
  <c r="M12" i="27" a="1"/>
  <c r="L37" i="27" a="1"/>
  <c r="L6" i="27" a="1"/>
  <c r="L25" i="27" a="1"/>
  <c r="L27" i="27" a="1"/>
  <c r="P17" i="27" a="1"/>
  <c r="M25" i="27" a="1"/>
  <c r="M30" i="27" a="1"/>
  <c r="L43" i="27" a="1"/>
  <c r="P36" i="27" a="1"/>
  <c r="P37" i="27" a="1"/>
  <c r="M33" i="27" a="1"/>
  <c r="M17" i="27" a="1"/>
  <c r="M4" i="27" a="1"/>
  <c r="P32" i="27" a="1"/>
  <c r="L13" i="27" a="1"/>
  <c r="L9" i="27" a="1"/>
  <c r="L40" i="27" a="1"/>
  <c r="L7" i="27" a="1"/>
  <c r="P27" i="27" a="1"/>
  <c r="P6" i="27" a="1"/>
  <c r="L41" i="27" a="1"/>
  <c r="P43" i="27" a="1"/>
  <c r="M22" i="27" a="1"/>
  <c r="P21" i="27" a="1"/>
  <c r="M39" i="27" a="1"/>
  <c r="P28" i="27" a="1"/>
  <c r="P4" i="27" a="1"/>
  <c r="L39" i="27" a="1"/>
  <c r="P41" i="27" a="1"/>
  <c r="M11" i="27" a="1"/>
  <c r="P34" i="27" a="1"/>
  <c r="P30" i="27" a="1"/>
  <c r="P24" i="27" a="1"/>
  <c r="L15" i="27" a="1"/>
  <c r="P35" i="27" a="1"/>
  <c r="M40" i="27" a="1"/>
  <c r="M42" i="27" a="1"/>
  <c r="N40" i="27" a="1"/>
  <c r="P13" i="27" a="1"/>
  <c r="L19" i="27" a="1"/>
  <c r="M16" i="27" a="1"/>
  <c r="M28" i="27" a="1"/>
  <c r="M19" i="27" a="1"/>
  <c r="L16" i="27" a="1"/>
  <c r="P10" i="27" a="1"/>
  <c r="L3" i="27" a="1"/>
  <c r="L4" i="27" a="1"/>
  <c r="P7" i="27" a="1"/>
  <c r="P42" i="27" a="1"/>
  <c r="M35" i="27" a="1"/>
  <c r="M15" i="27" a="1"/>
  <c r="P29" i="27" a="1"/>
  <c r="P3" i="27" a="1"/>
  <c r="M18" i="27" a="1"/>
  <c r="P16" i="27" a="1"/>
  <c r="M13" i="27" a="1"/>
  <c r="P18" i="27" a="1"/>
  <c r="L8" i="27" a="1"/>
  <c r="P38" i="27" a="1"/>
  <c r="M8" i="27" a="1"/>
  <c r="N20" i="27" a="1"/>
  <c r="P39" i="27" a="1"/>
  <c r="P33" i="27" a="1"/>
  <c r="M26" i="27" a="1"/>
  <c r="P9" i="27" a="1"/>
  <c r="P40" i="27" a="1"/>
  <c r="P26" i="27" a="1"/>
  <c r="L21" i="27" a="1"/>
  <c r="L18" i="27" a="1"/>
  <c r="M43" i="27" a="1"/>
  <c r="L31" i="27" a="1"/>
  <c r="M21" i="27" a="1"/>
  <c r="L5" i="27" a="1"/>
  <c r="L33" i="27" a="1"/>
  <c r="M27" i="27" a="1"/>
  <c r="L22" i="27" a="1"/>
  <c r="L38" i="27" a="1"/>
  <c r="P12" i="27" a="1"/>
  <c r="P22" i="27" a="1"/>
  <c r="M9" i="27" a="1"/>
  <c r="L30" i="27" a="1"/>
  <c r="M31" i="27" a="1"/>
  <c r="P8" i="27" a="1"/>
  <c r="M24" i="27" a="1"/>
  <c r="M20" i="27" a="1"/>
  <c r="P5" i="27" a="1"/>
  <c r="L2" i="27" a="1"/>
  <c r="L35" i="27" a="1"/>
  <c r="L17" i="27" a="1"/>
  <c r="P15" i="27" a="1"/>
  <c r="L26" i="27" a="1"/>
  <c r="P11" i="27" a="1"/>
  <c r="M3" i="27" a="1"/>
  <c r="P25" i="27" a="1"/>
  <c r="L20" i="27" a="1"/>
  <c r="M5" i="27" a="1"/>
  <c r="M2" i="27" a="1"/>
  <c r="P2" i="27" a="1"/>
  <c r="P31" i="27" a="1"/>
  <c r="L32" i="27" a="1"/>
  <c r="M41" i="27" a="1"/>
  <c r="M36" i="27" a="1"/>
  <c r="L23" i="27" a="1"/>
  <c r="M34" i="27" a="1"/>
  <c r="L42" i="27" a="1"/>
  <c r="M6" i="27" a="1"/>
  <c r="L14" i="27" a="1"/>
  <c r="P23" i="27" a="1"/>
  <c r="L28" i="27" a="1"/>
  <c r="P19" i="27" a="1"/>
  <c r="L10" i="27" a="1"/>
  <c r="L34" i="27" a="1"/>
  <c r="M14" i="27" a="1"/>
  <c r="M7" i="27" a="1"/>
  <c r="L24" i="27" a="1"/>
  <c r="M29" i="27" a="1"/>
  <c r="M23" i="27" a="1"/>
  <c r="L11" i="27" a="1"/>
  <c r="P20" i="27" a="1"/>
  <c r="L36" i="27" a="1"/>
  <c r="P14" i="27" a="1"/>
  <c r="M32" i="27" a="1"/>
  <c r="M38" i="27" a="1"/>
  <c r="M37" i="27" a="1"/>
  <c r="M2" i="27" l="1"/>
  <c r="L21" i="27"/>
  <c r="A21" i="28" s="1"/>
  <c r="P7" i="27"/>
  <c r="D7" i="28" s="1"/>
  <c r="P15" i="27"/>
  <c r="D15" i="28" s="1"/>
  <c r="M34" i="27"/>
  <c r="P2" i="27"/>
  <c r="D2" i="28" s="1"/>
  <c r="L27" i="27"/>
  <c r="A27" i="28" s="1"/>
  <c r="P42" i="27"/>
  <c r="D42" i="28" s="1"/>
  <c r="M16" i="27"/>
  <c r="M22" i="27"/>
  <c r="M21" i="27"/>
  <c r="P25" i="27"/>
  <c r="D25" i="28" s="1"/>
  <c r="P17" i="27"/>
  <c r="D17" i="28" s="1"/>
  <c r="M8" i="27"/>
  <c r="M12" i="27"/>
  <c r="P34" i="27"/>
  <c r="D34" i="28" s="1"/>
  <c r="M35" i="27"/>
  <c r="L40" i="27"/>
  <c r="A40" i="28" s="1"/>
  <c r="P37" i="27"/>
  <c r="D37" i="28" s="1"/>
  <c r="M38" i="27"/>
  <c r="P30" i="27"/>
  <c r="D30" i="28" s="1"/>
  <c r="P18" i="27"/>
  <c r="D18" i="28" s="1"/>
  <c r="P12" i="27"/>
  <c r="D12" i="28" s="1"/>
  <c r="L7" i="27"/>
  <c r="A7" i="28" s="1"/>
  <c r="M30" i="27"/>
  <c r="N40" i="27"/>
  <c r="B40" i="28" s="1"/>
  <c r="L16" i="27"/>
  <c r="A16" i="28" s="1"/>
  <c r="P31" i="27"/>
  <c r="D31" i="28" s="1"/>
  <c r="M29" i="27"/>
  <c r="M19" i="27"/>
  <c r="L15" i="27"/>
  <c r="A15" i="28" s="1"/>
  <c r="M43" i="27"/>
  <c r="L35" i="27"/>
  <c r="A35" i="28" s="1"/>
  <c r="M5" i="27"/>
  <c r="M20" i="27"/>
  <c r="M4" i="27"/>
  <c r="L38" i="27"/>
  <c r="A38" i="28" s="1"/>
  <c r="L34" i="27"/>
  <c r="A34" i="28" s="1"/>
  <c r="L36" i="27"/>
  <c r="A36" i="28" s="1"/>
  <c r="L33" i="27"/>
  <c r="A33" i="28" s="1"/>
  <c r="L30" i="27"/>
  <c r="A30" i="28" s="1"/>
  <c r="L25" i="27"/>
  <c r="A25" i="28" s="1"/>
  <c r="L4" i="27"/>
  <c r="A4" i="28" s="1"/>
  <c r="L13" i="27"/>
  <c r="A13" i="28" s="1"/>
  <c r="M39" i="27"/>
  <c r="L37" i="27"/>
  <c r="A37" i="28" s="1"/>
  <c r="P13" i="27"/>
  <c r="D13" i="28" s="1"/>
  <c r="M13" i="27"/>
  <c r="L9" i="27"/>
  <c r="A9" i="28" s="1"/>
  <c r="L32" i="27"/>
  <c r="A32" i="28" s="1"/>
  <c r="P6" i="27"/>
  <c r="D6" i="28" s="1"/>
  <c r="L14" i="27"/>
  <c r="A14" i="28" s="1"/>
  <c r="L10" i="27"/>
  <c r="A10" i="28" s="1"/>
  <c r="L28" i="27"/>
  <c r="A28" i="28" s="1"/>
  <c r="P3" i="27"/>
  <c r="D3" i="28" s="1"/>
  <c r="L6" i="27"/>
  <c r="A6" i="28" s="1"/>
  <c r="P24" i="27"/>
  <c r="D24" i="28" s="1"/>
  <c r="L22" i="27"/>
  <c r="A22" i="28" s="1"/>
  <c r="P43" i="27"/>
  <c r="D43" i="28" s="1"/>
  <c r="L2" i="27"/>
  <c r="A2" i="28" s="1"/>
  <c r="M23" i="27"/>
  <c r="P39" i="27"/>
  <c r="D39" i="28" s="1"/>
  <c r="P4" i="27"/>
  <c r="D4" i="28" s="1"/>
  <c r="M28" i="27"/>
  <c r="L23" i="27"/>
  <c r="A23" i="28" s="1"/>
  <c r="M7" i="27"/>
  <c r="L19" i="27"/>
  <c r="A19" i="28" s="1"/>
  <c r="M36" i="27"/>
  <c r="L11" i="27"/>
  <c r="A11" i="28" s="1"/>
  <c r="M31" i="27"/>
  <c r="M9" i="27"/>
  <c r="P32" i="27"/>
  <c r="D32" i="28" s="1"/>
  <c r="P36" i="27"/>
  <c r="D36" i="28" s="1"/>
  <c r="M40" i="27"/>
  <c r="M18" i="27"/>
  <c r="P29" i="27"/>
  <c r="D29" i="28" s="1"/>
  <c r="L24" i="27"/>
  <c r="A24" i="28" s="1"/>
  <c r="M15" i="27"/>
  <c r="M17" i="27"/>
  <c r="M27" i="27"/>
  <c r="P41" i="27"/>
  <c r="D41" i="28" s="1"/>
  <c r="P40" i="27"/>
  <c r="D40" i="28" s="1"/>
  <c r="L39" i="27"/>
  <c r="A39" i="28" s="1"/>
  <c r="L26" i="27"/>
  <c r="A26" i="28" s="1"/>
  <c r="M26" i="27"/>
  <c r="M41" i="27"/>
  <c r="P21" i="27"/>
  <c r="D21" i="28" s="1"/>
  <c r="P11" i="27"/>
  <c r="D11" i="28" s="1"/>
  <c r="P22" i="27"/>
  <c r="D22" i="28" s="1"/>
  <c r="L18" i="27"/>
  <c r="A18" i="28" s="1"/>
  <c r="P9" i="27"/>
  <c r="D9" i="28" s="1"/>
  <c r="M33" i="27"/>
  <c r="P27" i="27"/>
  <c r="D27" i="28" s="1"/>
  <c r="L20" i="27"/>
  <c r="A20" i="28" s="1"/>
  <c r="M6" i="27"/>
  <c r="M25" i="27"/>
  <c r="M24" i="27"/>
  <c r="P35" i="27"/>
  <c r="D35" i="28" s="1"/>
  <c r="M42" i="27"/>
  <c r="P5" i="27"/>
  <c r="D5" i="28" s="1"/>
  <c r="P14" i="27"/>
  <c r="D14" i="28" s="1"/>
  <c r="N20" i="27"/>
  <c r="B20" i="28" s="1"/>
  <c r="M14" i="27"/>
  <c r="P38" i="27"/>
  <c r="D38" i="28" s="1"/>
  <c r="M32" i="27"/>
  <c r="M11" i="27"/>
  <c r="L5" i="27"/>
  <c r="A5" i="28" s="1"/>
  <c r="L8" i="27"/>
  <c r="A8" i="28" s="1"/>
  <c r="L43" i="27"/>
  <c r="A43" i="28" s="1"/>
  <c r="P10" i="27"/>
  <c r="D10" i="28" s="1"/>
  <c r="L17" i="27"/>
  <c r="A17" i="28" s="1"/>
  <c r="P16" i="27"/>
  <c r="D16" i="28" s="1"/>
  <c r="L3" i="27"/>
  <c r="A3" i="28" s="1"/>
  <c r="P19" i="27"/>
  <c r="D19" i="28" s="1"/>
  <c r="M3" i="27"/>
  <c r="M37" i="27"/>
  <c r="L29" i="27"/>
  <c r="A29" i="28" s="1"/>
  <c r="L41" i="27"/>
  <c r="A41" i="28" s="1"/>
  <c r="P33" i="27"/>
  <c r="D33" i="28" s="1"/>
  <c r="L42" i="27"/>
  <c r="A42" i="28" s="1"/>
  <c r="P23" i="27"/>
  <c r="D23" i="28" s="1"/>
  <c r="P26" i="27"/>
  <c r="D26" i="28" s="1"/>
  <c r="L31" i="27"/>
  <c r="A31" i="28" s="1"/>
  <c r="P20" i="27"/>
  <c r="D20" i="28" s="1"/>
  <c r="P8" i="27"/>
  <c r="D8" i="28" s="1"/>
  <c r="P28" i="27"/>
  <c r="D28" i="28" s="1"/>
  <c r="N33" i="27" a="1"/>
  <c r="N21" i="27" a="1"/>
  <c r="N35" i="27" a="1"/>
  <c r="N15" i="27" a="1"/>
  <c r="N38" i="27" a="1"/>
  <c r="N18" i="27" a="1"/>
  <c r="N29" i="27" a="1"/>
  <c r="N14" i="27" a="1"/>
  <c r="N32" i="27" a="1"/>
  <c r="N30" i="27" a="1"/>
  <c r="N6" i="27" a="1"/>
  <c r="N13" i="27" a="1"/>
  <c r="N27" i="27" a="1"/>
  <c r="N4" i="27" a="1"/>
  <c r="N17" i="27" a="1"/>
  <c r="N3" i="27" a="1"/>
  <c r="N22" i="27" a="1"/>
  <c r="N41" i="27" a="1"/>
  <c r="N39" i="27" a="1"/>
  <c r="N19" i="27" a="1"/>
  <c r="N24" i="27" a="1"/>
  <c r="N43" i="27" a="1"/>
  <c r="N26" i="27" a="1"/>
  <c r="N5" i="27" a="1"/>
  <c r="N25" i="27" a="1"/>
  <c r="N36" i="27" a="1"/>
  <c r="N16" i="27" a="1"/>
  <c r="N28" i="27" a="1"/>
  <c r="N12" i="27" a="1"/>
  <c r="N42" i="27" a="1"/>
  <c r="N2" i="27" a="1"/>
  <c r="N31" i="27" a="1"/>
  <c r="N10" i="27" a="1"/>
  <c r="N8" i="27" a="1"/>
  <c r="N9" i="27" a="1"/>
  <c r="N11" i="27" a="1"/>
  <c r="N34" i="27" a="1"/>
  <c r="N23" i="27" a="1"/>
  <c r="N37" i="27" a="1"/>
  <c r="N7" i="27" a="1"/>
  <c r="N10" i="27" l="1"/>
  <c r="B10" i="28" s="1"/>
  <c r="N4" i="27"/>
  <c r="B4" i="28" s="1"/>
  <c r="N36" i="27"/>
  <c r="B36" i="28" s="1"/>
  <c r="N5" i="27"/>
  <c r="B5" i="28" s="1"/>
  <c r="N30" i="27"/>
  <c r="B30" i="28" s="1"/>
  <c r="N22" i="27"/>
  <c r="B22" i="28" s="1"/>
  <c r="N23" i="27"/>
  <c r="B23" i="28" s="1"/>
  <c r="N3" i="27"/>
  <c r="B3" i="28" s="1"/>
  <c r="N28" i="27"/>
  <c r="B28" i="28" s="1"/>
  <c r="N43" i="27"/>
  <c r="B43" i="28" s="1"/>
  <c r="N11" i="27"/>
  <c r="B11" i="28" s="1"/>
  <c r="N41" i="27"/>
  <c r="B41" i="28" s="1"/>
  <c r="N9" i="27"/>
  <c r="B9" i="28" s="1"/>
  <c r="N31" i="27"/>
  <c r="B31" i="28" s="1"/>
  <c r="N19" i="27"/>
  <c r="B19" i="28" s="1"/>
  <c r="N32" i="27"/>
  <c r="B32" i="28" s="1"/>
  <c r="N25" i="27"/>
  <c r="B25" i="28" s="1"/>
  <c r="N13" i="27"/>
  <c r="B13" i="28" s="1"/>
  <c r="N12" i="27"/>
  <c r="B12" i="28" s="1"/>
  <c r="N16" i="27"/>
  <c r="B16" i="28" s="1"/>
  <c r="N2" i="27"/>
  <c r="B2" i="28" s="1"/>
  <c r="N37" i="27"/>
  <c r="B37" i="28" s="1"/>
  <c r="N7" i="27"/>
  <c r="B7" i="28" s="1"/>
  <c r="N38" i="27"/>
  <c r="B38" i="28" s="1"/>
  <c r="N33" i="27"/>
  <c r="B33" i="28" s="1"/>
  <c r="N39" i="27"/>
  <c r="B39" i="28" s="1"/>
  <c r="N6" i="27"/>
  <c r="B6" i="28" s="1"/>
  <c r="N15" i="27"/>
  <c r="B15" i="28" s="1"/>
  <c r="N35" i="27"/>
  <c r="B35" i="28" s="1"/>
  <c r="N34" i="27"/>
  <c r="B34" i="28" s="1"/>
  <c r="N42" i="27"/>
  <c r="B42" i="28" s="1"/>
  <c r="N18" i="27"/>
  <c r="B18" i="28" s="1"/>
  <c r="N17" i="27"/>
  <c r="B17" i="28" s="1"/>
  <c r="N8" i="27"/>
  <c r="B8" i="28" s="1"/>
  <c r="N27" i="27"/>
  <c r="B27" i="28" s="1"/>
  <c r="N29" i="27"/>
  <c r="B29" i="28" s="1"/>
  <c r="N26" i="27"/>
  <c r="B26" i="28" s="1"/>
  <c r="N21" i="27"/>
  <c r="B21" i="28" s="1"/>
  <c r="N14" i="27"/>
  <c r="B14" i="28" s="1"/>
  <c r="N24" i="27"/>
  <c r="B24" i="28" s="1"/>
  <c r="M44" i="11"/>
  <c r="N44" i="11" s="1"/>
  <c r="E17" i="7" s="1"/>
  <c r="A7" i="29"/>
  <c r="C7" i="29" s="1"/>
  <c r="K5" i="11" l="1"/>
  <c r="K8" i="11"/>
  <c r="G6" i="11"/>
  <c r="G7" i="11" s="1"/>
  <c r="H103" i="18" s="1"/>
  <c r="G7" i="29"/>
  <c r="H7" i="29"/>
  <c r="D7" i="29"/>
  <c r="E7" i="29"/>
  <c r="M7" i="29"/>
  <c r="F7" i="29"/>
  <c r="J7" i="29"/>
  <c r="K7" i="29"/>
  <c r="I7" i="29"/>
  <c r="L7" i="29"/>
  <c r="H6" i="11"/>
  <c r="O27" i="29" a="1"/>
  <c r="O15" i="29" a="1"/>
  <c r="O21" i="29" a="1"/>
  <c r="O22" i="29" a="1"/>
  <c r="O25" i="29" a="1"/>
  <c r="O28" i="29" a="1"/>
  <c r="O3" i="29" a="1"/>
  <c r="O11" i="29" a="1"/>
  <c r="O4" i="29" a="1"/>
  <c r="O24" i="29" a="1"/>
  <c r="O9" i="29" a="1"/>
  <c r="O19" i="29" a="1"/>
  <c r="O6" i="29" a="1"/>
  <c r="O12" i="29" a="1"/>
  <c r="O29" i="29" a="1"/>
  <c r="O31" i="29" a="1"/>
  <c r="O30" i="29" a="1"/>
  <c r="O14" i="29" a="1"/>
  <c r="O13" i="29" a="1"/>
  <c r="O5" i="29" a="1"/>
  <c r="O18" i="29" a="1"/>
  <c r="O20" i="29" a="1"/>
  <c r="O23" i="29" a="1"/>
  <c r="O17" i="29" a="1"/>
  <c r="O10" i="29" a="1"/>
  <c r="O7" i="29" a="1"/>
  <c r="O16" i="29" a="1"/>
  <c r="O26" i="29" a="1"/>
  <c r="O2" i="29" a="1"/>
  <c r="O8" i="29" a="1"/>
  <c r="O9" i="29" l="1"/>
  <c r="B21" i="3" s="1"/>
  <c r="O13" i="29"/>
  <c r="B25" i="3" s="1"/>
  <c r="O22" i="29"/>
  <c r="B34" i="3" s="1"/>
  <c r="O26" i="29"/>
  <c r="B38" i="3" s="1"/>
  <c r="O3" i="29"/>
  <c r="B15" i="3" s="1"/>
  <c r="O17" i="29"/>
  <c r="B29" i="3" s="1"/>
  <c r="O14" i="29"/>
  <c r="B26" i="3" s="1"/>
  <c r="O21" i="29"/>
  <c r="B33" i="3" s="1"/>
  <c r="O19" i="29"/>
  <c r="B31" i="3" s="1"/>
  <c r="O29" i="29"/>
  <c r="B41" i="3" s="1"/>
  <c r="O4" i="29"/>
  <c r="B16" i="3" s="1"/>
  <c r="O31" i="29"/>
  <c r="B43" i="3" s="1"/>
  <c r="O25" i="29"/>
  <c r="B37" i="3" s="1"/>
  <c r="O18" i="29"/>
  <c r="B30" i="3" s="1"/>
  <c r="O5" i="29"/>
  <c r="B17" i="3" s="1"/>
  <c r="O10" i="29"/>
  <c r="B22" i="3" s="1"/>
  <c r="O11" i="29"/>
  <c r="B23" i="3" s="1"/>
  <c r="O20" i="29"/>
  <c r="B32" i="3" s="1"/>
  <c r="O12" i="29"/>
  <c r="B24" i="3" s="1"/>
  <c r="O6" i="29"/>
  <c r="B18" i="3" s="1"/>
  <c r="O8" i="29"/>
  <c r="B20" i="3" s="1"/>
  <c r="O23" i="29"/>
  <c r="B35" i="3" s="1"/>
  <c r="O7" i="29"/>
  <c r="B19" i="3" s="1"/>
  <c r="O28" i="29"/>
  <c r="B40" i="3" s="1"/>
  <c r="O27" i="29"/>
  <c r="B39" i="3" s="1"/>
  <c r="O15" i="29"/>
  <c r="B27" i="3" s="1"/>
  <c r="O30" i="29"/>
  <c r="B42" i="3" s="1"/>
  <c r="O24" i="29"/>
  <c r="B36" i="3" s="1"/>
  <c r="O16" i="29"/>
  <c r="B28" i="3" s="1"/>
  <c r="O2" i="29"/>
  <c r="B14" i="3" s="1"/>
  <c r="N11" i="3" s="1" a="1"/>
  <c r="N11" i="3" s="1"/>
  <c r="G13" i="3" s="1"/>
  <c r="G101" i="18"/>
  <c r="G103" i="18"/>
  <c r="D9" i="11"/>
  <c r="D6" i="11"/>
  <c r="E10" i="11"/>
  <c r="I5" i="11"/>
  <c r="E6" i="11"/>
  <c r="E8" i="11"/>
  <c r="G100" i="18"/>
  <c r="E9" i="11"/>
  <c r="H9" i="11"/>
  <c r="K13" i="3" l="1"/>
  <c r="L13" i="3"/>
  <c r="H102" i="18"/>
  <c r="H100" i="18"/>
  <c r="K12" i="3"/>
  <c r="I8" i="11"/>
  <c r="I9" i="11"/>
  <c r="I10" i="11"/>
  <c r="I6" i="11"/>
  <c r="E7" i="11"/>
  <c r="I102" i="18" s="1"/>
  <c r="R23" i="29" a="1"/>
  <c r="P28" i="29" a="1"/>
  <c r="W20" i="29" a="1"/>
  <c r="P29" i="29" a="1"/>
  <c r="W28" i="29" a="1"/>
  <c r="V11" i="29" a="1"/>
  <c r="V5" i="29" a="1"/>
  <c r="U10" i="29" a="1"/>
  <c r="V28" i="29" a="1"/>
  <c r="Y11" i="29" a="1"/>
  <c r="U5" i="29" a="1"/>
  <c r="Q21" i="29" a="1"/>
  <c r="T6" i="29" a="1"/>
  <c r="X3" i="29" a="1"/>
  <c r="Q27" i="29" a="1"/>
  <c r="T27" i="29" a="1"/>
  <c r="Q25" i="29" a="1"/>
  <c r="R16" i="29" a="1"/>
  <c r="P9" i="29" a="1"/>
  <c r="T22" i="29" a="1"/>
  <c r="W29" i="29" a="1"/>
  <c r="W9" i="29" a="1"/>
  <c r="Y27" i="29" a="1"/>
  <c r="W27" i="29" a="1"/>
  <c r="Y19" i="29" a="1"/>
  <c r="V27" i="29" a="1"/>
  <c r="X20" i="29" a="1"/>
  <c r="P16" i="29" a="1"/>
  <c r="T15" i="29" a="1"/>
  <c r="S5" i="29" a="1"/>
  <c r="V7" i="29" a="1"/>
  <c r="R10" i="29" a="1"/>
  <c r="V17" i="29" a="1"/>
  <c r="U17" i="29" a="1"/>
  <c r="W25" i="29" a="1"/>
  <c r="Q7" i="29" a="1"/>
  <c r="Q17" i="29" a="1"/>
  <c r="U3" i="29" a="1"/>
  <c r="V10" i="29" a="1"/>
  <c r="R20" i="29" a="1"/>
  <c r="T17" i="29" a="1"/>
  <c r="R31" i="29" a="1"/>
  <c r="X9" i="29" a="1"/>
  <c r="S25" i="29" a="1"/>
  <c r="U16" i="29" a="1"/>
  <c r="U18" i="29" a="1"/>
  <c r="Y22" i="29" a="1"/>
  <c r="W14" i="29" a="1"/>
  <c r="W23" i="29" a="1"/>
  <c r="Y24" i="29" a="1"/>
  <c r="U7" i="29" a="1"/>
  <c r="T30" i="29" a="1"/>
  <c r="Y13" i="29" a="1"/>
  <c r="T5" i="29" a="1"/>
  <c r="X21" i="29" a="1"/>
  <c r="X12" i="29" a="1"/>
  <c r="V24" i="29" a="1"/>
  <c r="X24" i="29" a="1"/>
  <c r="R24" i="29" a="1"/>
  <c r="S6" i="29" a="1"/>
  <c r="Y26" i="29" a="1"/>
  <c r="X16" i="29" a="1"/>
  <c r="U14" i="29" a="1"/>
  <c r="Q13" i="29" a="1"/>
  <c r="Q16" i="29" a="1"/>
  <c r="W26" i="29" a="1"/>
  <c r="R12" i="29" a="1"/>
  <c r="P10" i="29" a="1"/>
  <c r="S3" i="29" a="1"/>
  <c r="V16" i="29" a="1"/>
  <c r="P26" i="29" a="1"/>
  <c r="P30" i="29" a="1"/>
  <c r="T28" i="29" a="1"/>
  <c r="T20" i="29" a="1"/>
  <c r="U21" i="29" a="1"/>
  <c r="S24" i="29" a="1"/>
  <c r="X6" i="29" a="1"/>
  <c r="W18" i="29" a="1"/>
  <c r="X29" i="29" a="1"/>
  <c r="U31" i="29" a="1"/>
  <c r="R5" i="29" a="1"/>
  <c r="R19" i="29" a="1"/>
  <c r="W21" i="29" a="1"/>
  <c r="Y14" i="29" a="1"/>
  <c r="S16" i="29" a="1"/>
  <c r="P14" i="29" a="1"/>
  <c r="T13" i="29" a="1"/>
  <c r="S9" i="29" a="1"/>
  <c r="R22" i="29" a="1"/>
  <c r="S20" i="29" a="1"/>
  <c r="T16" i="29" a="1"/>
  <c r="Y31" i="29" a="1"/>
  <c r="T26" i="29" a="1"/>
  <c r="Q29" i="29" a="1"/>
  <c r="V18" i="29" a="1"/>
  <c r="T4" i="29" a="1"/>
  <c r="R15" i="29" a="1"/>
  <c r="R13" i="29" a="1"/>
  <c r="S7" i="29" a="1"/>
  <c r="T23" i="29" a="1"/>
  <c r="V31" i="29" a="1"/>
  <c r="V3" i="29" a="1"/>
  <c r="P18" i="29" a="1"/>
  <c r="Q20" i="29" a="1"/>
  <c r="U26" i="29" a="1"/>
  <c r="X30" i="29" a="1"/>
  <c r="U27" i="29" a="1"/>
  <c r="W3" i="29" a="1"/>
  <c r="R7" i="29" a="1"/>
  <c r="Y4" i="29" a="1"/>
  <c r="U29" i="29" a="1"/>
  <c r="V25" i="29" a="1"/>
  <c r="V29" i="29" a="1"/>
  <c r="Y18" i="29" a="1"/>
  <c r="P3" i="29" a="1"/>
  <c r="R8" i="29" a="1"/>
  <c r="Q28" i="29" a="1"/>
  <c r="S21" i="29" a="1"/>
  <c r="X27" i="29" a="1"/>
  <c r="X18" i="29" a="1"/>
  <c r="V30" i="29" a="1"/>
  <c r="Q9" i="29" a="1"/>
  <c r="S11" i="29" a="1"/>
  <c r="X19" i="29" a="1"/>
  <c r="S28" i="29" a="1"/>
  <c r="Y6" i="29" a="1"/>
  <c r="Q22" i="29" a="1"/>
  <c r="P15" i="29" a="1"/>
  <c r="U8" i="29" a="1"/>
  <c r="P23" i="29" a="1"/>
  <c r="Q10" i="29" a="1"/>
  <c r="V8" i="29" a="1"/>
  <c r="P31" i="29" a="1"/>
  <c r="U20" i="29" a="1"/>
  <c r="T14" i="29" a="1"/>
  <c r="W13" i="29" a="1"/>
  <c r="W5" i="29" a="1"/>
  <c r="U28" i="29" a="1"/>
  <c r="S12" i="29" a="1"/>
  <c r="X28" i="29" a="1"/>
  <c r="U19" i="29" a="1"/>
  <c r="U15" i="29" a="1"/>
  <c r="V4" i="29" a="1"/>
  <c r="W10" i="29" a="1"/>
  <c r="W24" i="29" a="1"/>
  <c r="X17" i="29" a="1"/>
  <c r="Q5" i="29" a="1"/>
  <c r="V20" i="29" a="1"/>
  <c r="W4" i="29" a="1"/>
  <c r="P17" i="29" a="1"/>
  <c r="Y28" i="29" a="1"/>
  <c r="S26" i="29" a="1"/>
  <c r="T29" i="29" a="1"/>
  <c r="U30" i="29" a="1"/>
  <c r="Q31" i="29" a="1"/>
  <c r="T10" i="29" a="1"/>
  <c r="P19" i="29" a="1"/>
  <c r="Y15" i="29" a="1"/>
  <c r="X10" i="29" a="1"/>
  <c r="Y16" i="29" a="1"/>
  <c r="Q12" i="29" a="1"/>
  <c r="U6" i="29" a="1"/>
  <c r="V19" i="29" a="1"/>
  <c r="V6" i="29" a="1"/>
  <c r="Y12" i="29" a="1"/>
  <c r="X23" i="29" a="1"/>
  <c r="T25" i="29" a="1"/>
  <c r="Y9" i="29" a="1"/>
  <c r="R30" i="29" a="1"/>
  <c r="V9" i="29" a="1"/>
  <c r="Q19" i="29" a="1"/>
  <c r="Q30" i="29" a="1"/>
  <c r="T18" i="29" a="1"/>
  <c r="Y30" i="29" a="1"/>
  <c r="R6" i="29" a="1"/>
  <c r="W11" i="29" a="1"/>
  <c r="R11" i="29" a="1"/>
  <c r="X22" i="29" a="1"/>
  <c r="W16" i="29" a="1"/>
  <c r="W30" i="29" a="1"/>
  <c r="T8" i="29" a="1"/>
  <c r="T9" i="29" a="1"/>
  <c r="Q3" i="29" a="1"/>
  <c r="P4" i="29" a="1"/>
  <c r="U13" i="29" a="1"/>
  <c r="S13" i="29" a="1"/>
  <c r="V23" i="29" a="1"/>
  <c r="Y3" i="29" a="1"/>
  <c r="R9" i="29" a="1"/>
  <c r="P27" i="29" a="1"/>
  <c r="Y21" i="29" a="1"/>
  <c r="Y8" i="29" a="1"/>
  <c r="Q14" i="29" a="1"/>
  <c r="X5" i="29" a="1"/>
  <c r="R14" i="29" a="1"/>
  <c r="T11" i="29" a="1"/>
  <c r="P12" i="29" a="1"/>
  <c r="Q4" i="29" a="1"/>
  <c r="Q15" i="29" a="1"/>
  <c r="X25" i="29" a="1"/>
  <c r="V22" i="29" a="1"/>
  <c r="R17" i="29" a="1"/>
  <c r="R18" i="29" a="1"/>
  <c r="Y7" i="29" a="1"/>
  <c r="T19" i="29" a="1"/>
  <c r="S4" i="29" a="1"/>
  <c r="X31" i="29" a="1"/>
  <c r="S17" i="29" a="1"/>
  <c r="P11" i="29" a="1"/>
  <c r="X8" i="29" a="1"/>
  <c r="Y23" i="29" a="1"/>
  <c r="X15" i="29" a="1"/>
  <c r="X7" i="29" a="1"/>
  <c r="P22" i="29" a="1"/>
  <c r="W17" i="29" a="1"/>
  <c r="U25" i="29" a="1"/>
  <c r="W12" i="29" a="1"/>
  <c r="W6" i="29" a="1"/>
  <c r="U22" i="29" a="1"/>
  <c r="T31" i="29" a="1"/>
  <c r="P8" i="29" a="1"/>
  <c r="S31" i="29" a="1"/>
  <c r="T12" i="29" a="1"/>
  <c r="S15" i="29" a="1"/>
  <c r="P20" i="29" a="1"/>
  <c r="S10" i="29" a="1"/>
  <c r="X4" i="29" a="1"/>
  <c r="Q26" i="29" a="1"/>
  <c r="R3" i="29" a="1"/>
  <c r="S27" i="29" a="1"/>
  <c r="V26" i="29" a="1"/>
  <c r="S22" i="29" a="1"/>
  <c r="W19" i="29" a="1"/>
  <c r="S8" i="29" a="1"/>
  <c r="V15" i="29" a="1"/>
  <c r="X13" i="29" a="1"/>
  <c r="U12" i="29" a="1"/>
  <c r="R25" i="29" a="1"/>
  <c r="V14" i="29" a="1"/>
  <c r="P25" i="29" a="1"/>
  <c r="Y20" i="29" a="1"/>
  <c r="W15" i="29" a="1"/>
  <c r="P24" i="29" a="1"/>
  <c r="R26" i="29" a="1"/>
  <c r="U23" i="29" a="1"/>
  <c r="S19" i="29" a="1"/>
  <c r="T7" i="29" a="1"/>
  <c r="S23" i="29" a="1"/>
  <c r="U9" i="29" a="1"/>
  <c r="X14" i="29" a="1"/>
  <c r="Q24" i="29" a="1"/>
  <c r="S18" i="29" a="1"/>
  <c r="R27" i="29" a="1"/>
  <c r="P21" i="29" a="1"/>
  <c r="W8" i="29" a="1"/>
  <c r="R21" i="29" a="1"/>
  <c r="R28" i="29" a="1"/>
  <c r="T24" i="29" a="1"/>
  <c r="W31" i="29" a="1"/>
  <c r="Y29" i="29" a="1"/>
  <c r="Y25" i="29" a="1"/>
  <c r="X26" i="29" a="1"/>
  <c r="S14" i="29" a="1"/>
  <c r="Y10" i="29" a="1"/>
  <c r="W22" i="29" a="1"/>
  <c r="P13" i="29" a="1"/>
  <c r="V13" i="29" a="1"/>
  <c r="U11" i="29" a="1"/>
  <c r="X11" i="29" a="1"/>
  <c r="V12" i="29" a="1"/>
  <c r="U24" i="29" a="1"/>
  <c r="S30" i="29" a="1"/>
  <c r="W7" i="29" a="1"/>
  <c r="P5" i="29" a="1"/>
  <c r="V21" i="29" a="1"/>
  <c r="T21" i="29" a="1"/>
  <c r="Q11" i="29" a="1"/>
  <c r="Q6" i="29" a="1"/>
  <c r="Q18" i="29" a="1"/>
  <c r="Y17" i="29" a="1"/>
  <c r="R29" i="29" a="1"/>
  <c r="R4" i="29" a="1"/>
  <c r="Q23" i="29" a="1"/>
  <c r="Q8" i="29" a="1"/>
  <c r="Y5" i="29" a="1"/>
  <c r="P6" i="29" a="1"/>
  <c r="U4" i="29" a="1"/>
  <c r="P7" i="29" a="1"/>
  <c r="S29" i="29" a="1"/>
  <c r="T3" i="29" a="1"/>
  <c r="U27" i="29" l="1"/>
  <c r="T18" i="29"/>
  <c r="V20" i="29"/>
  <c r="S28" i="29"/>
  <c r="Q31" i="29"/>
  <c r="R21" i="29"/>
  <c r="T17" i="29"/>
  <c r="R16" i="29"/>
  <c r="P23" i="29"/>
  <c r="W26" i="29"/>
  <c r="R18" i="29"/>
  <c r="V21" i="29"/>
  <c r="Y3" i="29"/>
  <c r="X15" i="29"/>
  <c r="W8" i="29"/>
  <c r="S22" i="29"/>
  <c r="W14" i="29"/>
  <c r="J26" i="3" s="1"/>
  <c r="U11" i="29"/>
  <c r="Q5" i="29"/>
  <c r="X19" i="29"/>
  <c r="Y27" i="29"/>
  <c r="Q30" i="29"/>
  <c r="R20" i="29"/>
  <c r="Q25" i="29"/>
  <c r="W16" i="29"/>
  <c r="Q16" i="29"/>
  <c r="V18" i="29"/>
  <c r="T13" i="29"/>
  <c r="R13" i="29"/>
  <c r="Q20" i="29"/>
  <c r="P21" i="29"/>
  <c r="V26" i="29"/>
  <c r="T21" i="29"/>
  <c r="W18" i="29"/>
  <c r="X17" i="29"/>
  <c r="S11" i="29"/>
  <c r="X26" i="29"/>
  <c r="Q19" i="29"/>
  <c r="V10" i="29"/>
  <c r="T27" i="29"/>
  <c r="P30" i="29"/>
  <c r="Q13" i="29"/>
  <c r="R29" i="29"/>
  <c r="X5" i="29"/>
  <c r="U12" i="29"/>
  <c r="P7" i="29"/>
  <c r="R27" i="29"/>
  <c r="S27" i="29"/>
  <c r="U30" i="29"/>
  <c r="U13" i="29"/>
  <c r="W24" i="29"/>
  <c r="Q9" i="29"/>
  <c r="P22" i="29"/>
  <c r="V9" i="29"/>
  <c r="U3" i="29"/>
  <c r="Q27" i="29"/>
  <c r="U8" i="29"/>
  <c r="U14" i="29"/>
  <c r="H26" i="3" s="1"/>
  <c r="R17" i="29"/>
  <c r="P5" i="29"/>
  <c r="Y22" i="29"/>
  <c r="Y23" i="29"/>
  <c r="S18" i="29"/>
  <c r="R3" i="29"/>
  <c r="R5" i="29"/>
  <c r="V13" i="29"/>
  <c r="W10" i="29"/>
  <c r="V30" i="29"/>
  <c r="W9" i="29"/>
  <c r="R30" i="29"/>
  <c r="Q17" i="29"/>
  <c r="X3" i="29"/>
  <c r="T19" i="29"/>
  <c r="X16" i="29"/>
  <c r="Y17" i="29"/>
  <c r="Q14" i="29"/>
  <c r="D26" i="3" s="1"/>
  <c r="X22" i="29"/>
  <c r="P18" i="29"/>
  <c r="Q24" i="29"/>
  <c r="Q26" i="29"/>
  <c r="T11" i="29"/>
  <c r="X6" i="29"/>
  <c r="V4" i="29"/>
  <c r="X18" i="29"/>
  <c r="Y25" i="29"/>
  <c r="Y9" i="29"/>
  <c r="Q7" i="29"/>
  <c r="T6" i="29"/>
  <c r="P26" i="29"/>
  <c r="Y26" i="29"/>
  <c r="V22" i="29"/>
  <c r="P14" i="29"/>
  <c r="C26" i="3" s="1"/>
  <c r="T29" i="29"/>
  <c r="U4" i="29"/>
  <c r="X14" i="29"/>
  <c r="K26" i="3" s="1"/>
  <c r="X4" i="29"/>
  <c r="X13" i="29"/>
  <c r="P4" i="29"/>
  <c r="U15" i="29"/>
  <c r="X27" i="29"/>
  <c r="T3" i="29"/>
  <c r="T25" i="29"/>
  <c r="W25" i="29"/>
  <c r="Q21" i="29"/>
  <c r="U18" i="29"/>
  <c r="S6" i="29"/>
  <c r="Q29" i="29"/>
  <c r="W7" i="29"/>
  <c r="X11" i="29"/>
  <c r="X8" i="29"/>
  <c r="U9" i="29"/>
  <c r="S10" i="29"/>
  <c r="P15" i="29"/>
  <c r="P13" i="29"/>
  <c r="U19" i="29"/>
  <c r="S21" i="29"/>
  <c r="Q23" i="29"/>
  <c r="X23" i="29"/>
  <c r="U17" i="29"/>
  <c r="U5" i="29"/>
  <c r="R11" i="29"/>
  <c r="R24" i="29"/>
  <c r="X25" i="29"/>
  <c r="Y8" i="29"/>
  <c r="W29" i="29"/>
  <c r="V3" i="29"/>
  <c r="S23" i="29"/>
  <c r="P20" i="29"/>
  <c r="Y29" i="29"/>
  <c r="S24" i="29"/>
  <c r="X28" i="29"/>
  <c r="Q28" i="29"/>
  <c r="V16" i="29"/>
  <c r="Y12" i="29"/>
  <c r="V17" i="29"/>
  <c r="Y11" i="29"/>
  <c r="R22" i="29"/>
  <c r="X24" i="29"/>
  <c r="T26" i="29"/>
  <c r="S16" i="29"/>
  <c r="S26" i="29"/>
  <c r="P11" i="29"/>
  <c r="T7" i="29"/>
  <c r="S15" i="29"/>
  <c r="X30" i="29"/>
  <c r="Q3" i="29"/>
  <c r="S12" i="29"/>
  <c r="R8" i="29"/>
  <c r="V15" i="29"/>
  <c r="V6" i="29"/>
  <c r="R10" i="29"/>
  <c r="V28" i="29"/>
  <c r="U16" i="29"/>
  <c r="V24" i="29"/>
  <c r="Q18" i="29"/>
  <c r="S30" i="29"/>
  <c r="V23" i="29"/>
  <c r="V31" i="29"/>
  <c r="S19" i="29"/>
  <c r="T12" i="29"/>
  <c r="Q22" i="29"/>
  <c r="W22" i="29"/>
  <c r="U28" i="29"/>
  <c r="P3" i="29"/>
  <c r="W11" i="29"/>
  <c r="V19" i="29"/>
  <c r="V7" i="29"/>
  <c r="U10" i="29"/>
  <c r="R15" i="29"/>
  <c r="X12" i="29"/>
  <c r="Q15" i="29"/>
  <c r="Y21" i="29"/>
  <c r="T22" i="29"/>
  <c r="P6" i="29"/>
  <c r="U23" i="29"/>
  <c r="S31" i="29"/>
  <c r="W31" i="29"/>
  <c r="U21" i="29"/>
  <c r="W5" i="29"/>
  <c r="Y18" i="29"/>
  <c r="S3" i="29"/>
  <c r="U6" i="29"/>
  <c r="S5" i="29"/>
  <c r="V5" i="29"/>
  <c r="S9" i="29"/>
  <c r="X21" i="29"/>
  <c r="Y31" i="29"/>
  <c r="Y14" i="29"/>
  <c r="L26" i="3" s="1"/>
  <c r="Y28" i="29"/>
  <c r="S17" i="29"/>
  <c r="R26" i="29"/>
  <c r="P8" i="29"/>
  <c r="X7" i="29"/>
  <c r="T9" i="29"/>
  <c r="W13" i="29"/>
  <c r="V29" i="29"/>
  <c r="S25" i="29"/>
  <c r="Q12" i="29"/>
  <c r="T15" i="29"/>
  <c r="V11" i="29"/>
  <c r="U31" i="29"/>
  <c r="T5" i="29"/>
  <c r="Q6" i="29"/>
  <c r="P27" i="29"/>
  <c r="S8" i="29"/>
  <c r="T23" i="29"/>
  <c r="P24" i="29"/>
  <c r="T31" i="29"/>
  <c r="Y7" i="29"/>
  <c r="T8" i="29"/>
  <c r="T14" i="29"/>
  <c r="G26" i="3" s="1"/>
  <c r="V25" i="29"/>
  <c r="R6" i="29"/>
  <c r="Y16" i="29"/>
  <c r="P16" i="29"/>
  <c r="W28" i="29"/>
  <c r="Y6" i="29"/>
  <c r="Y13" i="29"/>
  <c r="T16" i="29"/>
  <c r="W21" i="29"/>
  <c r="T24" i="29"/>
  <c r="Y5" i="29"/>
  <c r="W15" i="29"/>
  <c r="U22" i="29"/>
  <c r="P10" i="29"/>
  <c r="T20" i="29"/>
  <c r="U20" i="29"/>
  <c r="U29" i="29"/>
  <c r="P9" i="29"/>
  <c r="X10" i="29"/>
  <c r="X20" i="29"/>
  <c r="P29" i="29"/>
  <c r="P17" i="29"/>
  <c r="T30" i="29"/>
  <c r="Q4" i="29"/>
  <c r="U24" i="29"/>
  <c r="U26" i="29"/>
  <c r="X31" i="29"/>
  <c r="Y20" i="29"/>
  <c r="W6" i="29"/>
  <c r="R14" i="29"/>
  <c r="E26" i="3" s="1"/>
  <c r="Y10" i="29"/>
  <c r="P31" i="29"/>
  <c r="Y4" i="29"/>
  <c r="X9" i="29"/>
  <c r="Y15" i="29"/>
  <c r="V27" i="29"/>
  <c r="W20" i="29"/>
  <c r="X29" i="29"/>
  <c r="U7" i="29"/>
  <c r="Q11" i="29"/>
  <c r="R9" i="29"/>
  <c r="W19" i="29"/>
  <c r="S7" i="29"/>
  <c r="P25" i="29"/>
  <c r="W12" i="29"/>
  <c r="T4" i="29"/>
  <c r="T28" i="29"/>
  <c r="V8" i="29"/>
  <c r="R7" i="29"/>
  <c r="Y30" i="29"/>
  <c r="P19" i="29"/>
  <c r="Y19" i="29"/>
  <c r="P28" i="29"/>
  <c r="R28" i="29"/>
  <c r="Y24" i="29"/>
  <c r="S20" i="29"/>
  <c r="R19" i="29"/>
  <c r="R12" i="29"/>
  <c r="Q8" i="29"/>
  <c r="V14" i="29"/>
  <c r="I26" i="3" s="1"/>
  <c r="U25" i="29"/>
  <c r="W4" i="29"/>
  <c r="W30" i="29"/>
  <c r="Q10" i="29"/>
  <c r="W3" i="29"/>
  <c r="S29" i="29"/>
  <c r="T10" i="29"/>
  <c r="W27" i="29"/>
  <c r="R23" i="29"/>
  <c r="R31" i="29"/>
  <c r="W23" i="29"/>
  <c r="P12" i="29"/>
  <c r="V12" i="29"/>
  <c r="S13" i="29"/>
  <c r="S4" i="29"/>
  <c r="R25" i="29"/>
  <c r="W17" i="29"/>
  <c r="R4" i="29"/>
  <c r="S14" i="29"/>
  <c r="F26" i="3" s="1"/>
  <c r="C12" i="3"/>
  <c r="G12" i="3"/>
  <c r="I13" i="3"/>
  <c r="J12" i="3"/>
  <c r="D13" i="3"/>
  <c r="B12" i="3"/>
  <c r="C1" i="3" s="1"/>
  <c r="E13" i="3"/>
  <c r="C11" i="3"/>
  <c r="C10" i="3"/>
  <c r="H13" i="3"/>
  <c r="D12" i="3"/>
  <c r="F13" i="3"/>
  <c r="I7" i="11"/>
  <c r="W2" i="29" a="1"/>
  <c r="T2" i="29" a="1"/>
  <c r="S2" i="29" a="1"/>
  <c r="R2" i="29" a="1"/>
  <c r="X2" i="29" a="1"/>
  <c r="U2" i="29" a="1"/>
  <c r="Q2" i="29" a="1"/>
  <c r="P2" i="29" a="1"/>
  <c r="V2" i="29" a="1"/>
  <c r="Y2" i="29" a="1"/>
  <c r="K23" i="3" l="1"/>
  <c r="D16" i="3"/>
  <c r="I28" i="3"/>
  <c r="G27" i="3"/>
  <c r="L24" i="3"/>
  <c r="G15" i="3"/>
  <c r="I42" i="3"/>
  <c r="L41" i="3"/>
  <c r="D31" i="3"/>
  <c r="L21" i="3"/>
  <c r="D30" i="3"/>
  <c r="C36" i="3"/>
  <c r="J36" i="3"/>
  <c r="K33" i="3"/>
  <c r="H20" i="3"/>
  <c r="J31" i="3"/>
  <c r="E35" i="3"/>
  <c r="I43" i="3"/>
  <c r="E29" i="3"/>
  <c r="C24" i="3"/>
  <c r="D40" i="3"/>
  <c r="I24" i="3"/>
  <c r="Q2" i="29"/>
  <c r="D14" i="3" s="1"/>
  <c r="L29" i="3"/>
  <c r="I37" i="3"/>
  <c r="J33" i="3"/>
  <c r="C19" i="3"/>
  <c r="D41" i="3"/>
  <c r="H42" i="3"/>
  <c r="G22" i="3"/>
  <c r="G25" i="3"/>
  <c r="P2" i="29"/>
  <c r="C14" i="3" s="1"/>
  <c r="H28" i="3"/>
  <c r="H16" i="3"/>
  <c r="G31" i="3"/>
  <c r="F43" i="3"/>
  <c r="C31" i="3"/>
  <c r="E34" i="3"/>
  <c r="F28" i="3"/>
  <c r="G37" i="3"/>
  <c r="D42" i="3"/>
  <c r="I22" i="3"/>
  <c r="U2" i="29"/>
  <c r="H14" i="3" s="1"/>
  <c r="L19" i="3"/>
  <c r="D18" i="3"/>
  <c r="J25" i="3"/>
  <c r="H18" i="3"/>
  <c r="L22" i="3"/>
  <c r="D27" i="3"/>
  <c r="E22" i="3"/>
  <c r="L28" i="3"/>
  <c r="G42" i="3"/>
  <c r="I29" i="3"/>
  <c r="C28" i="3"/>
  <c r="K42" i="3"/>
  <c r="F24" i="3"/>
  <c r="H34" i="3"/>
  <c r="S2" i="29"/>
  <c r="F14" i="3" s="1"/>
  <c r="C29" i="3"/>
  <c r="L17" i="3"/>
  <c r="G33" i="3"/>
  <c r="I39" i="3"/>
  <c r="J19" i="3"/>
  <c r="C35" i="3"/>
  <c r="C33" i="3"/>
  <c r="K16" i="3"/>
  <c r="C42" i="3"/>
  <c r="F17" i="3"/>
  <c r="F34" i="3"/>
  <c r="C43" i="3"/>
  <c r="J41" i="3"/>
  <c r="H27" i="3"/>
  <c r="E38" i="3"/>
  <c r="C21" i="3"/>
  <c r="F42" i="3"/>
  <c r="I25" i="3"/>
  <c r="E24" i="3"/>
  <c r="I16" i="3"/>
  <c r="V2" i="29"/>
  <c r="I14" i="3" s="1"/>
  <c r="I32" i="3"/>
  <c r="L20" i="3"/>
  <c r="J37" i="3"/>
  <c r="J20" i="3"/>
  <c r="D34" i="3"/>
  <c r="D23" i="3"/>
  <c r="C41" i="3"/>
  <c r="K32" i="3"/>
  <c r="I35" i="3"/>
  <c r="K34" i="3"/>
  <c r="C18" i="3"/>
  <c r="K22" i="3"/>
  <c r="H22" i="3"/>
  <c r="E25" i="3"/>
  <c r="I27" i="3"/>
  <c r="L36" i="3"/>
  <c r="F32" i="3"/>
  <c r="D17" i="3"/>
  <c r="G32" i="3"/>
  <c r="L25" i="3"/>
  <c r="J34" i="3"/>
  <c r="I15" i="3"/>
  <c r="F41" i="3"/>
  <c r="E42" i="3"/>
  <c r="I41" i="3"/>
  <c r="D25" i="3"/>
  <c r="I21" i="3"/>
  <c r="J42" i="3"/>
  <c r="I34" i="3"/>
  <c r="E33" i="3"/>
  <c r="G23" i="3"/>
  <c r="H43" i="3"/>
  <c r="J21" i="3"/>
  <c r="F22" i="3"/>
  <c r="D22" i="3"/>
  <c r="C15" i="3"/>
  <c r="L38" i="3"/>
  <c r="K20" i="3"/>
  <c r="G21" i="3"/>
  <c r="J24" i="3"/>
  <c r="K43" i="3"/>
  <c r="C30" i="3"/>
  <c r="C38" i="3"/>
  <c r="D32" i="3"/>
  <c r="I20" i="3"/>
  <c r="G34" i="3"/>
  <c r="E41" i="3"/>
  <c r="H38" i="3"/>
  <c r="C34" i="3"/>
  <c r="F16" i="3"/>
  <c r="E19" i="3"/>
  <c r="J38" i="3"/>
  <c r="K18" i="3"/>
  <c r="D43" i="3"/>
  <c r="E30" i="3"/>
  <c r="G43" i="3"/>
  <c r="L15" i="3"/>
  <c r="J27" i="3"/>
  <c r="K30" i="3"/>
  <c r="G19" i="3"/>
  <c r="T2" i="29"/>
  <c r="G14" i="3" s="1"/>
  <c r="D29" i="3"/>
  <c r="I40" i="3"/>
  <c r="E15" i="3"/>
  <c r="E18" i="3"/>
  <c r="C40" i="3"/>
  <c r="G38" i="3"/>
  <c r="G41" i="3"/>
  <c r="L33" i="3"/>
  <c r="H30" i="3"/>
  <c r="I36" i="3"/>
  <c r="E16" i="3"/>
  <c r="K38" i="3"/>
  <c r="L30" i="3"/>
  <c r="K40" i="3"/>
  <c r="H36" i="3"/>
  <c r="L31" i="3"/>
  <c r="C23" i="3"/>
  <c r="D38" i="3"/>
  <c r="D39" i="3"/>
  <c r="E31" i="3"/>
  <c r="G40" i="3"/>
  <c r="H37" i="3"/>
  <c r="I38" i="3"/>
  <c r="K39" i="3"/>
  <c r="C16" i="3"/>
  <c r="F19" i="3"/>
  <c r="L18" i="3"/>
  <c r="H29" i="3"/>
  <c r="D21" i="3"/>
  <c r="E21" i="3"/>
  <c r="H32" i="3"/>
  <c r="H33" i="3"/>
  <c r="C32" i="3"/>
  <c r="J43" i="3"/>
  <c r="F40" i="3"/>
  <c r="L42" i="3"/>
  <c r="W2" i="29"/>
  <c r="J14" i="3" s="1"/>
  <c r="H35" i="3"/>
  <c r="I18" i="3"/>
  <c r="K15" i="3"/>
  <c r="K17" i="3"/>
  <c r="L43" i="3"/>
  <c r="E43" i="3"/>
  <c r="J18" i="3"/>
  <c r="G30" i="3"/>
  <c r="G36" i="3"/>
  <c r="G29" i="3"/>
  <c r="E39" i="3"/>
  <c r="K21" i="3"/>
  <c r="F18" i="3"/>
  <c r="L23" i="3"/>
  <c r="F35" i="3"/>
  <c r="H39" i="3"/>
  <c r="H25" i="3"/>
  <c r="I19" i="3"/>
  <c r="F36" i="3"/>
  <c r="Y2" i="29"/>
  <c r="L14" i="3" s="1"/>
  <c r="K36" i="3"/>
  <c r="I33" i="3"/>
  <c r="L27" i="3"/>
  <c r="H21" i="3"/>
  <c r="K29" i="3"/>
  <c r="J15" i="3"/>
  <c r="G17" i="3"/>
  <c r="I17" i="3"/>
  <c r="J35" i="3"/>
  <c r="H24" i="3"/>
  <c r="D37" i="3"/>
  <c r="I31" i="3"/>
  <c r="K41" i="3"/>
  <c r="E17" i="3"/>
  <c r="E36" i="3"/>
  <c r="K37" i="3"/>
  <c r="F29" i="3"/>
  <c r="C37" i="3"/>
  <c r="H19" i="3"/>
  <c r="D24" i="3"/>
  <c r="J39" i="3"/>
  <c r="F20" i="3"/>
  <c r="F15" i="3"/>
  <c r="L37" i="3"/>
  <c r="H31" i="3"/>
  <c r="K31" i="3"/>
  <c r="F37" i="3"/>
  <c r="H41" i="3"/>
  <c r="E37" i="3"/>
  <c r="C39" i="3"/>
  <c r="K19" i="3"/>
  <c r="C22" i="3"/>
  <c r="L40" i="3"/>
  <c r="E20" i="3"/>
  <c r="J29" i="3"/>
  <c r="C17" i="3"/>
  <c r="J23" i="3"/>
  <c r="L16" i="3"/>
  <c r="D20" i="3"/>
  <c r="C27" i="3"/>
  <c r="G20" i="3"/>
  <c r="F38" i="3"/>
  <c r="K27" i="3"/>
  <c r="J16" i="3"/>
  <c r="F31" i="3"/>
  <c r="K35" i="3"/>
  <c r="K28" i="3"/>
  <c r="G18" i="3"/>
  <c r="X2" i="29"/>
  <c r="K14" i="3" s="1"/>
  <c r="C25" i="3"/>
  <c r="R2" i="29"/>
  <c r="E14" i="3" s="1"/>
  <c r="F27" i="3"/>
  <c r="D28" i="3"/>
  <c r="G39" i="3"/>
  <c r="K25" i="3"/>
  <c r="L39" i="3"/>
  <c r="L35" i="3"/>
  <c r="J32" i="3"/>
  <c r="E27" i="3"/>
  <c r="G16" i="3"/>
  <c r="F25" i="3"/>
  <c r="D36" i="3"/>
  <c r="J22" i="3"/>
  <c r="J40" i="3"/>
  <c r="E32" i="3"/>
  <c r="F21" i="3"/>
  <c r="C20" i="3"/>
  <c r="E23" i="3"/>
  <c r="D19" i="3"/>
  <c r="F39" i="3"/>
  <c r="G24" i="3"/>
  <c r="H40" i="3"/>
  <c r="D35" i="3"/>
  <c r="J17" i="3"/>
  <c r="G28" i="3"/>
  <c r="I30" i="3"/>
  <c r="H17" i="3"/>
  <c r="G35" i="3"/>
  <c r="D15" i="3"/>
  <c r="F33" i="3"/>
  <c r="D33" i="3"/>
  <c r="F30" i="3"/>
  <c r="J28" i="3"/>
  <c r="E40" i="3"/>
  <c r="K24" i="3"/>
  <c r="H15" i="3"/>
  <c r="H23" i="3"/>
  <c r="F23" i="3"/>
  <c r="L32" i="3"/>
  <c r="I23" i="3"/>
  <c r="L34" i="3"/>
  <c r="E28" i="3"/>
  <c r="J3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M12" authorId="0" shapeId="0" xr:uid="{00000000-0006-0000-0000-000003000000}">
      <text>
        <r>
          <rPr>
            <sz val="9"/>
            <color indexed="81"/>
            <rFont val="Arial"/>
            <family val="2"/>
          </rPr>
          <t>tt.mm.jjjj
Übertrag in weitere Tabellenblätter erfolgt automatisch.</t>
        </r>
      </text>
    </comment>
    <comment ref="C14" authorId="1"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M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4" authorId="0" shapeId="0" xr:uid="{00000000-0006-0000-0000-000007000000}">
      <text>
        <r>
          <rPr>
            <sz val="9"/>
            <color indexed="81"/>
            <rFont val="Arial"/>
            <family val="2"/>
          </rPr>
          <t>Für die automatische Generierung des Kennzahlenbogens und der Matrix Ergebnisqualität steht ein Auswertungstool (XML-OncoBox) zur Verfügung, welches in unterschiedliche Tumordokumentationssysteme integriert werden kann. Weitergehende Informationen zur XML-OncoBox unter www.xml-oncobox.de.</t>
        </r>
      </text>
    </comment>
    <comment ref="D33" authorId="0" shapeId="0" xr:uid="{00000000-0006-0000-0000-000008000000}">
      <text>
        <r>
          <rPr>
            <sz val="9"/>
            <color indexed="81"/>
            <rFont val="Arial"/>
            <family val="2"/>
          </rPr>
          <t>Zähler KN: 4</t>
        </r>
      </text>
    </comment>
    <comment ref="F33" authorId="1" shapeId="0" xr:uid="{00000000-0006-0000-0000-000009000000}">
      <text>
        <r>
          <rPr>
            <sz val="9"/>
            <color indexed="81"/>
            <rFont val="Arial"/>
            <family val="2"/>
          </rPr>
          <t>Teil von Zähler KN: 22, 23</t>
        </r>
      </text>
    </comment>
    <comment ref="G33" authorId="1" shapeId="0" xr:uid="{00000000-0006-0000-0000-00000A000000}">
      <text>
        <r>
          <rPr>
            <sz val="9"/>
            <color indexed="81"/>
            <rFont val="Arial"/>
            <family val="2"/>
          </rPr>
          <t>Teil von Zähler KN: 22, 23</t>
        </r>
      </text>
    </comment>
    <comment ref="O33" authorId="0" shapeId="0" xr:uid="{00000000-0006-0000-0000-00000B000000}">
      <text>
        <r>
          <rPr>
            <sz val="9"/>
            <color indexed="81"/>
            <rFont val="Arial"/>
            <family val="2"/>
          </rPr>
          <t>Anzahl KN: 1b)1
Nenner KN: 4, 23</t>
        </r>
      </text>
    </comment>
    <comment ref="O34" authorId="0" shapeId="0" xr:uid="{00000000-0006-0000-0000-00000C000000}">
      <text>
        <r>
          <rPr>
            <sz val="9"/>
            <color indexed="81"/>
            <rFont val="Arial"/>
            <family val="2"/>
          </rPr>
          <t>Anzahl KN: 1b)2</t>
        </r>
      </text>
    </comment>
    <comment ref="I35" authorId="1" shapeId="0" xr:uid="{00000000-0006-0000-0000-00000D000000}">
      <text>
        <r>
          <rPr>
            <sz val="9"/>
            <color indexed="81"/>
            <rFont val="Tahoma"/>
            <family val="2"/>
          </rPr>
          <t>Nenner KN: 5</t>
        </r>
      </text>
    </comment>
    <comment ref="O35" authorId="0" shapeId="0" xr:uid="{00000000-0006-0000-0000-00000E000000}">
      <text>
        <r>
          <rPr>
            <sz val="9"/>
            <color indexed="81"/>
            <rFont val="Arial"/>
            <family val="2"/>
          </rPr>
          <t>Anzahl KN: 1b)3</t>
        </r>
      </text>
    </comment>
    <comment ref="F40" authorId="1" shapeId="0" xr:uid="{00000000-0006-0000-0000-00000F000000}">
      <text>
        <r>
          <rPr>
            <sz val="9"/>
            <color indexed="81"/>
            <rFont val="Arial"/>
            <family val="2"/>
          </rPr>
          <t>Teil von Nenner KN: 22</t>
        </r>
      </text>
    </comment>
    <comment ref="G40" authorId="1" shapeId="0" xr:uid="{00000000-0006-0000-0000-000010000000}">
      <text>
        <r>
          <rPr>
            <sz val="9"/>
            <color indexed="81"/>
            <rFont val="Arial"/>
            <family val="2"/>
          </rPr>
          <t>Teil von Nenner KN: 22</t>
        </r>
      </text>
    </comment>
    <comment ref="I40" authorId="0" shapeId="0" xr:uid="{00000000-0006-0000-0000-000011000000}">
      <text>
        <r>
          <rPr>
            <sz val="9"/>
            <color indexed="81"/>
            <rFont val="Arial"/>
            <family val="2"/>
          </rPr>
          <t>Zähler KN: 11</t>
        </r>
      </text>
    </comment>
    <comment ref="K40" authorId="0" shapeId="0" xr:uid="{00000000-0006-0000-0000-000012000000}">
      <text>
        <r>
          <rPr>
            <sz val="9"/>
            <color indexed="81"/>
            <rFont val="Arial"/>
            <family val="2"/>
          </rPr>
          <t>Zähler KN: 13</t>
        </r>
      </text>
    </comment>
    <comment ref="O40" authorId="0" shapeId="0" xr:uid="{00000000-0006-0000-0000-000013000000}">
      <text>
        <r>
          <rPr>
            <sz val="9"/>
            <color indexed="81"/>
            <rFont val="Arial"/>
            <family val="2"/>
          </rPr>
          <t>Anzahl KN 1a)
Teil von Nenner KN: 6, 7
Nenner KN: 8, 11, 13</t>
        </r>
      </text>
    </comment>
    <comment ref="O45" authorId="0" shapeId="0" xr:uid="{00000000-0006-0000-0000-000014000000}">
      <text>
        <r>
          <rPr>
            <sz val="9"/>
            <color indexed="81"/>
            <rFont val="Arial"/>
            <family val="2"/>
          </rPr>
          <t>Teil von Anzahl KN 1c
Teil von Nenner KN: 3c, 6, 7</t>
        </r>
      </text>
    </comment>
    <comment ref="O46" authorId="0" shapeId="0" xr:uid="{00000000-0006-0000-0000-000015000000}">
      <text>
        <r>
          <rPr>
            <sz val="9"/>
            <color indexed="81"/>
            <rFont val="Arial"/>
            <family val="2"/>
          </rPr>
          <t>Teil von Anzahl KN 1c
Teil von Nenner KN: 3c, 6, 7</t>
        </r>
      </text>
    </comment>
    <comment ref="O53" authorId="0" shapeId="0" xr:uid="{00000000-0006-0000-0000-000016000000}">
      <text>
        <r>
          <rPr>
            <sz val="9"/>
            <color indexed="81"/>
            <rFont val="Arial"/>
            <family val="2"/>
          </rPr>
          <t>Anzahl KN: 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100-000001000000}">
      <text>
        <r>
          <rPr>
            <sz val="9"/>
            <color indexed="81"/>
            <rFont val="Arial"/>
            <family val="2"/>
          </rPr>
          <t>Zähler KN 8</t>
        </r>
      </text>
    </comment>
    <comment ref="A9" authorId="0" shapeId="0" xr:uid="{00000000-0006-0000-01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100-000003000000}">
      <text>
        <r>
          <rPr>
            <sz val="9"/>
            <color indexed="81"/>
            <rFont val="Arial"/>
            <family val="2"/>
          </rPr>
          <t>Angabe optional, siehe Kap. 1.7.5</t>
        </r>
      </text>
    </comment>
    <comment ref="E10" authorId="0" shapeId="0" xr:uid="{00000000-0006-0000-01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OnkoZert - Roxana Rentea</author>
  </authors>
  <commentList>
    <comment ref="C6" authorId="0" shapeId="0" xr:uid="{00000000-0006-0000-06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6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 ref="E6" authorId="0" shapeId="0" xr:uid="{00000000-0006-0000-0600-000003000000}">
      <text>
        <r>
          <rPr>
            <sz val="9"/>
            <color indexed="81"/>
            <rFont val="Arial"/>
            <family val="2"/>
          </rPr>
          <t>Jeder Prostataoperateur muss mindestens jährlich 25 Prostatektomien oder 75 Prostatektomien in 5 Jahren nachweisen.</t>
        </r>
      </text>
    </comment>
    <comment ref="E25" authorId="1" shapeId="0" xr:uid="{00000000-0006-0000-0600-000004000000}">
      <text>
        <r>
          <rPr>
            <sz val="9"/>
            <color indexed="81"/>
            <rFont val="Arial"/>
            <family val="2"/>
          </rPr>
          <t>Summe "Operative Expertise" Basisdaten kann sich von Summe der Operationen pro Operateur unterscheiden.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Florina</author>
    <author>OnkoZert - Florina Dudu</author>
  </authors>
  <commentList>
    <comment ref="E4" authorId="0" shapeId="0" xr:uid="{00000000-0006-0000-0700-000001000000}">
      <text>
        <r>
          <rPr>
            <sz val="9"/>
            <color indexed="81"/>
            <rFont val="Arial"/>
            <family val="2"/>
          </rPr>
          <t>Übertrag erfolgt aus Tabellenblatt Basisdaten</t>
        </r>
      </text>
    </comment>
    <comment ref="H4" authorId="0" shapeId="0" xr:uid="{00000000-0006-0000-0700-000002000000}">
      <text>
        <r>
          <rPr>
            <sz val="9"/>
            <color indexed="81"/>
            <rFont val="Arial"/>
            <family val="2"/>
          </rPr>
          <t>Übertrag erfolgt aus Tabellenblatt Basisdaten</t>
        </r>
      </text>
    </comment>
    <comment ref="B6" authorId="0" shapeId="0" xr:uid="{00000000-0006-0000-0700-000003000000}">
      <text>
        <r>
          <rPr>
            <sz val="9"/>
            <color indexed="81"/>
            <rFont val="Arial"/>
            <family val="2"/>
          </rPr>
          <t>KN = Kennzahl</t>
        </r>
      </text>
    </comment>
    <comment ref="D6" authorId="0" shapeId="0" xr:uid="{00000000-0006-0000-0700-000004000000}">
      <text>
        <r>
          <rPr>
            <sz val="9"/>
            <color indexed="81"/>
            <rFont val="Arial"/>
            <family val="2"/>
          </rPr>
          <t>EB = Erhebungsbogen
LL = Leitlinie (www.leitlinienprogramm-onkologie.de)</t>
        </r>
      </text>
    </comment>
    <comment ref="E6" authorId="1" shapeId="0" xr:uid="{00000000-0006-0000-0700-000005000000}">
      <text>
        <r>
          <rPr>
            <sz val="9"/>
            <color indexed="81"/>
            <rFont val="Arial"/>
            <family val="2"/>
          </rPr>
          <t>Weitere Erläuterungen siehe FAQ.</t>
        </r>
      </text>
    </comment>
    <comment ref="P6" authorId="0" shapeId="0" xr:uid="{00000000-0006-0000-0700-000006000000}">
      <text>
        <r>
          <rPr>
            <sz val="9"/>
            <color indexed="81"/>
            <rFont val="Arial"/>
            <family val="2"/>
          </rPr>
          <t>Bitte zuerst Tabellenblatt Basisdaten komplett bearbeiten, dann graue Felder Ist-Werte ausfüllen.</t>
        </r>
      </text>
    </comment>
    <comment ref="S7" authorId="0" shapeId="0" xr:uid="{00000000-0006-0000-0700-000007000000}">
      <text>
        <r>
          <rPr>
            <sz val="9"/>
            <color indexed="81"/>
            <rFont val="Arial"/>
            <family val="2"/>
          </rPr>
          <t>Wenn Zelle grau, bitte Begründung angeben.</t>
        </r>
      </text>
    </comment>
    <comment ref="Q8" authorId="0" shapeId="0" xr:uid="{00000000-0006-0000-0700-000008000000}">
      <text>
        <r>
          <rPr>
            <sz val="9"/>
            <color indexed="81"/>
            <rFont val="Arial"/>
            <family val="2"/>
          </rPr>
          <t>Übertrag erfolgt aus Tabellenblatt Basisdaten
Zelle O40</t>
        </r>
      </text>
    </comment>
    <comment ref="Q11" authorId="0" shapeId="0" xr:uid="{00000000-0006-0000-0700-000009000000}">
      <text>
        <r>
          <rPr>
            <sz val="9"/>
            <color indexed="81"/>
            <rFont val="Arial"/>
            <family val="2"/>
          </rPr>
          <t>Übertrag erfolgt aus Tabellenblatt Basisdaten
Zelle O33</t>
        </r>
      </text>
    </comment>
    <comment ref="Q14" authorId="0" shapeId="0" xr:uid="{00000000-0006-0000-0700-00000A000000}">
      <text>
        <r>
          <rPr>
            <sz val="9"/>
            <color indexed="81"/>
            <rFont val="Arial"/>
            <family val="2"/>
          </rPr>
          <t>Übertrag erfolgt aus Tabellenblatt Basisdaten
Zelle O34</t>
        </r>
      </text>
    </comment>
    <comment ref="Q17" authorId="0" shapeId="0" xr:uid="{00000000-0006-0000-0700-00000B000000}">
      <text>
        <r>
          <rPr>
            <sz val="9"/>
            <color indexed="81"/>
            <rFont val="Arial"/>
            <family val="2"/>
          </rPr>
          <t>Übertrag erfolgt aus Tabellenblatt Basisdaten
Zelle O35</t>
        </r>
      </text>
    </comment>
    <comment ref="Q20" authorId="2" shapeId="0" xr:uid="{00000000-0006-0000-0700-00000C000000}">
      <text>
        <r>
          <rPr>
            <sz val="9"/>
            <color indexed="81"/>
            <rFont val="Arial"/>
            <family val="2"/>
          </rPr>
          <t>Übertrag erfolgt aus Tabellenblatt Basisdaten
Zelle O45 + O46</t>
        </r>
      </text>
    </comment>
    <comment ref="Q24" authorId="0" shapeId="0" xr:uid="{00000000-0006-0000-0700-00000D000000}">
      <text>
        <r>
          <rPr>
            <sz val="9"/>
            <color indexed="81"/>
            <rFont val="Arial"/>
            <family val="2"/>
          </rPr>
          <t>Leistungserbringer Urologie</t>
        </r>
      </text>
    </comment>
    <comment ref="Q27" authorId="0" shapeId="0" xr:uid="{00000000-0006-0000-0700-00000E000000}">
      <text>
        <r>
          <rPr>
            <sz val="9"/>
            <color indexed="81"/>
            <rFont val="Arial"/>
            <family val="2"/>
          </rPr>
          <t>Leistungserbringer Strahlentherapie</t>
        </r>
      </text>
    </comment>
    <comment ref="Q36" authorId="0" shapeId="0" xr:uid="{00000000-0006-0000-0700-00000F000000}">
      <text>
        <r>
          <rPr>
            <sz val="9"/>
            <color indexed="81"/>
            <rFont val="Arial"/>
            <family val="2"/>
          </rPr>
          <t>Übertrag erfolgt aus Tabellenblatt Basisdaten
Zelle O45 + O46</t>
        </r>
      </text>
    </comment>
    <comment ref="Q38" authorId="0" shapeId="0" xr:uid="{00000000-0006-0000-0700-000010000000}">
      <text>
        <r>
          <rPr>
            <sz val="9"/>
            <color indexed="81"/>
            <rFont val="Arial"/>
            <family val="2"/>
          </rPr>
          <t>Übertrag erfolgt aus Tabellenblatt Basisdaten
Zelle D33</t>
        </r>
      </text>
    </comment>
    <comment ref="Q39" authorId="0" shapeId="0" xr:uid="{00000000-0006-0000-0700-000011000000}">
      <text>
        <r>
          <rPr>
            <sz val="9"/>
            <color indexed="81"/>
            <rFont val="Arial"/>
            <family val="2"/>
          </rPr>
          <t>Übertrag erfolgt aus Tabellenblatt Basisdaten
Zelle O33</t>
        </r>
      </text>
    </comment>
    <comment ref="Q42" authorId="0" shapeId="0" xr:uid="{00000000-0006-0000-0700-000012000000}">
      <text>
        <r>
          <rPr>
            <sz val="9"/>
            <color indexed="81"/>
            <rFont val="Arial"/>
            <family val="2"/>
          </rPr>
          <t>Übertrag erfolgt aus Tabellenblatt Basisdaten
Zelle I35</t>
        </r>
      </text>
    </comment>
    <comment ref="E44" authorId="3" shapeId="0" xr:uid="{00000000-0006-0000-0700-000013000000}">
      <text>
        <r>
          <rPr>
            <sz val="9"/>
            <color indexed="81"/>
            <rFont val="Arial"/>
            <family val="2"/>
          </rPr>
          <t>Screeninginstrumente können der S3 Leitlinie Psychoonkologische Diagnostik, Beratung und Behandlung von erwachsenen Krebspat. entnommen werden</t>
        </r>
      </text>
    </comment>
    <comment ref="H44" authorId="3" shapeId="0" xr:uid="{00000000-0006-0000-0700-000014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45" authorId="0" shapeId="0" xr:uid="{00000000-0006-0000-0700-000015000000}">
      <text>
        <r>
          <rPr>
            <sz val="9"/>
            <color indexed="81"/>
            <rFont val="Arial"/>
            <family val="2"/>
          </rPr>
          <t>Anzahl KN 1a + Anzahl KN 1c</t>
        </r>
      </text>
    </comment>
    <comment ref="Q48" authorId="0" shapeId="0" xr:uid="{00000000-0006-0000-0700-000016000000}">
      <text>
        <r>
          <rPr>
            <sz val="9"/>
            <color indexed="81"/>
            <rFont val="Arial"/>
            <family val="2"/>
          </rPr>
          <t>Anzahl KN 1a + Anzahl KN 1c</t>
        </r>
      </text>
    </comment>
    <comment ref="Q50" authorId="0" shapeId="0" xr:uid="{00000000-0006-0000-0700-000017000000}">
      <text>
        <r>
          <rPr>
            <sz val="9"/>
            <color indexed="81"/>
            <rFont val="Arial"/>
            <family val="2"/>
          </rPr>
          <t>Übertrag erfolgt aus Tabellenblatt Studien Zelle E5</t>
        </r>
      </text>
    </comment>
    <comment ref="Q51" authorId="0" shapeId="0" xr:uid="{00000000-0006-0000-0700-000018000000}">
      <text>
        <r>
          <rPr>
            <sz val="9"/>
            <color indexed="81"/>
            <rFont val="Arial"/>
            <family val="2"/>
          </rPr>
          <t>Übertrag erfolgt aus Tabellenblatt Basisdaten
Zelle O40</t>
        </r>
      </text>
    </comment>
    <comment ref="Q53" authorId="0" shapeId="0" xr:uid="{00000000-0006-0000-0700-000019000000}">
      <text>
        <r>
          <rPr>
            <sz val="9"/>
            <color indexed="81"/>
            <rFont val="Arial"/>
            <family val="2"/>
          </rPr>
          <t>Übertrag erfolgt aus Tabellenblatt Basisdaten
Zelle O53</t>
        </r>
      </text>
    </comment>
    <comment ref="Q59" authorId="0" shapeId="0" xr:uid="{00000000-0006-0000-0700-00001A000000}">
      <text>
        <r>
          <rPr>
            <sz val="9"/>
            <color indexed="81"/>
            <rFont val="Arial"/>
            <family val="2"/>
          </rPr>
          <t>Übertrag erfolgt aus Tabellenblatt Basisdaten
Zelle I40</t>
        </r>
      </text>
    </comment>
    <comment ref="Q60" authorId="0" shapeId="0" xr:uid="{00000000-0006-0000-0700-00001B000000}">
      <text>
        <r>
          <rPr>
            <sz val="9"/>
            <color indexed="81"/>
            <rFont val="Arial"/>
            <family val="2"/>
          </rPr>
          <t>Übertrag erfolgt aus Tabellenblatt Basisdaten
Zelle O40</t>
        </r>
      </text>
    </comment>
    <comment ref="Q62" authorId="0" shapeId="0" xr:uid="{00000000-0006-0000-0700-00001C000000}">
      <text>
        <r>
          <rPr>
            <sz val="9"/>
            <color indexed="81"/>
            <rFont val="Arial"/>
            <family val="2"/>
          </rPr>
          <t>Wenn Therapieform nicht durchgeführt bitte 0 eintragen.</t>
        </r>
      </text>
    </comment>
    <comment ref="Q65" authorId="0" shapeId="0" xr:uid="{00000000-0006-0000-0700-00001D000000}">
      <text>
        <r>
          <rPr>
            <sz val="9"/>
            <color indexed="81"/>
            <rFont val="Arial"/>
            <family val="2"/>
          </rPr>
          <t>Übertrag erfolgt aus Tabellenblatt Basisdaten
Zelle K40</t>
        </r>
      </text>
    </comment>
    <comment ref="Q66" authorId="0" shapeId="0" xr:uid="{00000000-0006-0000-0700-00001E000000}">
      <text>
        <r>
          <rPr>
            <sz val="9"/>
            <color indexed="81"/>
            <rFont val="Arial"/>
            <family val="2"/>
          </rPr>
          <t>Übertrag erfolgt aus Tabellenblatt Basisdaten
Zelle O40</t>
        </r>
      </text>
    </comment>
    <comment ref="Q92" authorId="3" shapeId="0" xr:uid="{00000000-0006-0000-0700-00001F000000}">
      <text>
        <r>
          <rPr>
            <sz val="9"/>
            <color indexed="81"/>
            <rFont val="Arial"/>
            <family val="2"/>
          </rPr>
          <t>Übertrag erfolgt aus Tabellenblatt Basisdaten
Zelle F33 + G33</t>
        </r>
      </text>
    </comment>
    <comment ref="Q93" authorId="3" shapeId="0" xr:uid="{00000000-0006-0000-0700-000020000000}">
      <text>
        <r>
          <rPr>
            <sz val="9"/>
            <color indexed="81"/>
            <rFont val="Arial"/>
            <family val="2"/>
          </rPr>
          <t>Übertrag erfolgt aus Tabellenblatt Basisdaten
Zelle F40 + G40</t>
        </r>
      </text>
    </comment>
    <comment ref="Q95" authorId="3" shapeId="0" xr:uid="{00000000-0006-0000-0700-000021000000}">
      <text>
        <r>
          <rPr>
            <sz val="9"/>
            <color indexed="81"/>
            <rFont val="Arial"/>
            <family val="2"/>
          </rPr>
          <t>Übertrag erfolgt aus Tabellenblatt Basisdaten
Zelle F33 + G33</t>
        </r>
      </text>
    </comment>
    <comment ref="Q96" authorId="3" shapeId="0" xr:uid="{00000000-0006-0000-0700-000022000000}">
      <text>
        <r>
          <rPr>
            <sz val="9"/>
            <color indexed="81"/>
            <rFont val="Arial"/>
            <family val="2"/>
          </rPr>
          <t>Übertrag erfolgt aus Tabellenblatt Basisdaten
Zelle O33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7" authorId="0" shapeId="0" xr:uid="{00000000-0006-0000-09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A00-000001000000}">
      <text>
        <r>
          <rPr>
            <sz val="9"/>
            <color indexed="81"/>
            <rFont val="Arial"/>
            <family val="2"/>
          </rPr>
          <t>Übertrag erfolgt aus Tabellenblatt Basisdaten</t>
        </r>
        <r>
          <rPr>
            <sz val="9"/>
            <color indexed="81"/>
            <rFont val="Tahoma"/>
            <family val="2"/>
          </rPr>
          <t xml:space="preserve">
</t>
        </r>
      </text>
    </comment>
    <comment ref="D8" authorId="0" shapeId="0" xr:uid="{00000000-0006-0000-0A00-000002000000}">
      <text>
        <r>
          <rPr>
            <sz val="9"/>
            <color indexed="81"/>
            <rFont val="Arial"/>
            <family val="2"/>
          </rPr>
          <t>Übertrag erfolgt aus Tabellenblatt Basisdaten</t>
        </r>
      </text>
    </comment>
    <comment ref="K8" authorId="0" shapeId="0" xr:uid="{00000000-0006-0000-0A00-000003000000}">
      <text>
        <r>
          <rPr>
            <sz val="9"/>
            <color indexed="81"/>
            <rFont val="Arial"/>
            <family val="2"/>
          </rPr>
          <t>Übertrag erfolgt aus Tabellenblatt Basisdaten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C00-000001000000}">
      <text>
        <r>
          <rPr>
            <sz val="9"/>
            <color indexed="81"/>
            <rFont val="Arial"/>
            <family val="2"/>
          </rPr>
          <t>Übertrag erfolgt aus Tabellenblatt Basisdaten</t>
        </r>
      </text>
    </comment>
    <comment ref="C8" authorId="0" shapeId="0" xr:uid="{00000000-0006-0000-0C00-000002000000}">
      <text>
        <r>
          <rPr>
            <sz val="9"/>
            <color indexed="81"/>
            <rFont val="Arial"/>
            <family val="2"/>
          </rPr>
          <t>Übertrag erfolgt aus Tabellenblatt Basisdaten</t>
        </r>
        <r>
          <rPr>
            <sz val="9"/>
            <color indexed="81"/>
            <rFont val="Tahoma"/>
            <family val="2"/>
          </rPr>
          <t xml:space="preserve">
</t>
        </r>
      </text>
    </comment>
    <comment ref="K8" authorId="0" shapeId="0" xr:uid="{00000000-0006-0000-0C00-000003000000}">
      <text>
        <r>
          <rPr>
            <sz val="9"/>
            <color indexed="81"/>
            <rFont val="Arial"/>
            <family val="2"/>
          </rPr>
          <t>Übertrag erfolgt aus Tabellenblatt Basisdaten</t>
        </r>
        <r>
          <rPr>
            <sz val="9"/>
            <color indexed="81"/>
            <rFont val="Tahoma"/>
            <family val="2"/>
          </rPr>
          <t xml:space="preserve">
</t>
        </r>
      </text>
    </comment>
    <comment ref="G26" authorId="0" shapeId="0" xr:uid="{00000000-0006-0000-0C00-000004000000}">
      <text>
        <r>
          <rPr>
            <sz val="9"/>
            <color indexed="81"/>
            <rFont val="Arial"/>
            <family val="2"/>
          </rPr>
          <t>Voraussetzung REDZYK mind. 80,0%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1100-000001000000}">
      <text>
        <r>
          <rPr>
            <sz val="9"/>
            <color indexed="81"/>
            <rFont val="Arial"/>
            <family val="2"/>
          </rPr>
          <t>Übertrag erfolgt aus Tabellenblatt Basisdaten</t>
        </r>
      </text>
    </comment>
    <comment ref="C8" authorId="0" shapeId="0" xr:uid="{00000000-0006-0000-1100-000002000000}">
      <text>
        <r>
          <rPr>
            <sz val="9"/>
            <color indexed="81"/>
            <rFont val="Arial"/>
            <family val="2"/>
          </rPr>
          <t>Übertrag erfolgt aus Tabellenblatt Basisdaten</t>
        </r>
      </text>
    </comment>
    <comment ref="G8" authorId="0" shapeId="0" xr:uid="{00000000-0006-0000-1100-000003000000}">
      <text>
        <r>
          <rPr>
            <sz val="9"/>
            <color indexed="81"/>
            <rFont val="Arial"/>
            <family val="2"/>
          </rPr>
          <t>Übertrag erfolgt aus Tabellenblatt Basisdaten</t>
        </r>
        <r>
          <rPr>
            <sz val="9"/>
            <color indexed="81"/>
            <rFont val="Tahoma"/>
            <family val="2"/>
          </rPr>
          <t xml:space="preserve">
</t>
        </r>
      </text>
    </comment>
    <comment ref="C14" authorId="0" shapeId="0" xr:uid="{00000000-0006-0000-1100-000004000000}">
      <text>
        <r>
          <rPr>
            <sz val="9"/>
            <color indexed="81"/>
            <rFont val="Arial"/>
            <family val="2"/>
          </rPr>
          <t>Weitere Erläuterungen siehe Tabellenblatt "Matrix - Tabelle Plausibilitätsabfragen"</t>
        </r>
      </text>
    </comment>
  </commentList>
</comments>
</file>

<file path=xl/sharedStrings.xml><?xml version="1.0" encoding="utf-8"?>
<sst xmlns="http://schemas.openxmlformats.org/spreadsheetml/2006/main" count="1929" uniqueCount="1170">
  <si>
    <t>Nr.</t>
  </si>
  <si>
    <t>Kennzahlenziel</t>
  </si>
  <si>
    <t>Zähler</t>
  </si>
  <si>
    <t>Sollvorgabe</t>
  </si>
  <si>
    <t>Nenner</t>
  </si>
  <si>
    <t>%</t>
  </si>
  <si>
    <t>Primärfälle</t>
  </si>
  <si>
    <t>Siehe Sollvorgabe</t>
  </si>
  <si>
    <t>Anzahl</t>
  </si>
  <si>
    <t>Beratung Sozialdienst</t>
  </si>
  <si>
    <t>Adäquate Rate an Beratung durch Sozialdienst</t>
  </si>
  <si>
    <t>Sollvorgabe nicht erfüllt</t>
  </si>
  <si>
    <t>F</t>
  </si>
  <si>
    <t>I</t>
  </si>
  <si>
    <t>Summe</t>
  </si>
  <si>
    <t>Quote</t>
  </si>
  <si>
    <t>Reg.-Nr.</t>
  </si>
  <si>
    <t>Bundesland</t>
  </si>
  <si>
    <t>Universitätsstatus</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</si>
  <si>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</si>
  <si>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</si>
  <si>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</si>
  <si>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</si>
  <si>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</si>
  <si>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</si>
  <si>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</si>
  <si>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</si>
  <si>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</si>
  <si>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</si>
  <si>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</si>
  <si>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</si>
  <si>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</si>
  <si>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</si>
  <si>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</si>
  <si>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</si>
  <si>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</si>
  <si>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</si>
  <si>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</si>
  <si>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</si>
  <si>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</si>
  <si>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</si>
  <si>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</si>
  <si>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Universitär</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</si>
  <si>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</si>
  <si>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</si>
  <si>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</si>
  <si>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</si>
  <si>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</si>
  <si>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</si>
  <si>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</si>
  <si>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</si>
  <si>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</si>
  <si>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</si>
  <si>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</si>
  <si>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</si>
  <si>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</si>
  <si>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</si>
  <si>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</si>
  <si>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</si>
  <si>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</si>
  <si>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</si>
  <si>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</si>
  <si>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</si>
  <si>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</si>
  <si>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</si>
  <si>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</si>
  <si>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</si>
  <si>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</si>
  <si>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</si>
  <si>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</si>
  <si>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</si>
  <si>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</si>
  <si>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</si>
  <si>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</si>
  <si>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</si>
  <si>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</si>
  <si>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 xml:space="preserve"> </t>
  </si>
  <si>
    <t>Eigenentwicklung (MS Excel, MS Access etc.)</t>
  </si>
  <si>
    <t>KRAZTUR</t>
  </si>
  <si>
    <t>Kennzahlenbogen</t>
  </si>
  <si>
    <t>Erstelldatum</t>
  </si>
  <si>
    <t>Plausibilität unklar</t>
  </si>
  <si>
    <t>Verifizierung Zentrum</t>
  </si>
  <si>
    <t xml:space="preserve">Reg.-Nr. </t>
  </si>
  <si>
    <t>Erstzertifizierung</t>
  </si>
  <si>
    <t>Datenqualität Kennzahlen</t>
  </si>
  <si>
    <t>Grundgesamtheit 
(= Nenner)</t>
  </si>
  <si>
    <t>L</t>
  </si>
  <si>
    <t>Follow-Up-Meldungen</t>
  </si>
  <si>
    <t>I.O.</t>
  </si>
  <si>
    <t>I.O. (Plausibilität unklar)</t>
  </si>
  <si>
    <t>Pflicht Berechnung</t>
  </si>
  <si>
    <t>Optional Berechnung</t>
  </si>
  <si>
    <t>optional - I.O.</t>
  </si>
  <si>
    <t>optional - I.O. (Plausibilität unklar)</t>
  </si>
  <si>
    <t>optional - Sollvorgabe nicht erfüllt</t>
  </si>
  <si>
    <t>optional - unvollständig</t>
  </si>
  <si>
    <t>optional - inkorrekt</t>
  </si>
  <si>
    <t>In Ordnung</t>
  </si>
  <si>
    <t>Plausibel</t>
  </si>
  <si>
    <t>Inkorrekt</t>
  </si>
  <si>
    <t>Fehlerhaft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</si>
  <si>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</si>
  <si>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</si>
  <si>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</si>
  <si>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</si>
  <si>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</si>
  <si>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</si>
  <si>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</si>
  <si>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</si>
  <si>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</si>
  <si>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</si>
  <si>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</si>
  <si>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</si>
  <si>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</si>
  <si>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</si>
  <si>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</si>
  <si>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</si>
  <si>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</si>
  <si>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untere Grenze</t>
  </si>
  <si>
    <t>obere Grenze</t>
  </si>
  <si>
    <t>Werte</t>
  </si>
  <si>
    <t>Texte</t>
  </si>
  <si>
    <t>von</t>
  </si>
  <si>
    <t>ART</t>
  </si>
  <si>
    <t>plausi</t>
  </si>
  <si>
    <t>sollvorgabe</t>
  </si>
  <si>
    <t>unvollständig</t>
  </si>
  <si>
    <t>Liste zum Übertragen</t>
  </si>
  <si>
    <t>Kalenderjahr(e) 
(Erstdiagnose)</t>
  </si>
  <si>
    <t>Länge</t>
  </si>
  <si>
    <t xml:space="preserve">Fehlermeldungen </t>
  </si>
  <si>
    <t>Kommentare</t>
  </si>
  <si>
    <t>Wenn Zelle farbig, bitte Begründung angeben.</t>
  </si>
  <si>
    <t>durchschnittliche Follow-Up-Quote &gt; 95%</t>
  </si>
  <si>
    <t>Wert</t>
  </si>
  <si>
    <t>Erläuterung</t>
  </si>
  <si>
    <t>relevant</t>
  </si>
  <si>
    <t>Zentrum</t>
  </si>
  <si>
    <t>Standort</t>
  </si>
  <si>
    <t>Matrix kann eingereicht werden</t>
  </si>
  <si>
    <t>Einrichtung 1</t>
  </si>
  <si>
    <t>Status</t>
  </si>
  <si>
    <t>Land</t>
  </si>
  <si>
    <t>Nebenstandort</t>
  </si>
  <si>
    <t>Phase</t>
  </si>
  <si>
    <t>Audit Start</t>
  </si>
  <si>
    <t>Audit Ende</t>
  </si>
  <si>
    <t>Deutschland</t>
  </si>
  <si>
    <t>Universitätsklinikum Ulm</t>
  </si>
  <si>
    <t>St.-Antonius-Hospital Eschweiler</t>
  </si>
  <si>
    <t>Phase 2012</t>
  </si>
  <si>
    <t>Phase 2013</t>
  </si>
  <si>
    <t>Klinikum Memmingen</t>
  </si>
  <si>
    <t>Klinikum Ludwigsburg</t>
  </si>
  <si>
    <t>Universitätsklinikum Jena</t>
  </si>
  <si>
    <t>Klinikum Fulda gAG</t>
  </si>
  <si>
    <t>Hegau-Bodensee-Klinikum Singen</t>
  </si>
  <si>
    <t>UniversitätsSpital Zürich</t>
  </si>
  <si>
    <t>die inkorrekten und unvollständigen Einträge beheben</t>
  </si>
  <si>
    <t>Zellen müssen nicht ausgefüllt werden</t>
  </si>
  <si>
    <t>Prostatakarzinomzentrum Zeisigwaldkliniken Bethanien</t>
  </si>
  <si>
    <t>Zeisigwaldkliniken Bethanien Chemnitz</t>
  </si>
  <si>
    <t>Kliniken Maria Hilf GmbH</t>
  </si>
  <si>
    <t>Prostatakarzinomzentrum am Krankenhaus Nordwest</t>
  </si>
  <si>
    <t>Prostatakarzinomzentrum Martini-Klinik am UKE</t>
  </si>
  <si>
    <t>Prostatakarzinomzentrum Nordoberpfalz</t>
  </si>
  <si>
    <t>Prostatakarzinomzentrum Region Landshut</t>
  </si>
  <si>
    <t>Klinikum Landshut</t>
  </si>
  <si>
    <t>Prostatakarzinomzentrum Klinikum Fulda</t>
  </si>
  <si>
    <t>Charité - Campus Benjamin-Franklin</t>
  </si>
  <si>
    <t>Prostatakarzinomzentrum Sigmaringen</t>
  </si>
  <si>
    <t>Prostatakarzinomzentrum am Diakonie-Klinikum Stuttgart</t>
  </si>
  <si>
    <t>Diakonie-Klinikum Stuttgart</t>
  </si>
  <si>
    <t>Prostatakarzinomzentrum Vinzenzkrankenhaus Hannover</t>
  </si>
  <si>
    <t>Prostatakarzinomzentrum Tauber-Franken</t>
  </si>
  <si>
    <t>Caritas Krankenhaus Bad Mergentheim</t>
  </si>
  <si>
    <t>Prostatakarzinomzentrum Ahaus</t>
  </si>
  <si>
    <t>St. Marien-Krankenhaus Ahaus</t>
  </si>
  <si>
    <t>Prostatakarzinomzentrum Marburg im Comprehensive Cancer Center (CCC) Marburg</t>
  </si>
  <si>
    <t>Universitätsklinikum Gießen und Marburg GmbH, Standort Marburg</t>
  </si>
  <si>
    <t>Prostatazentrum Memmingen</t>
  </si>
  <si>
    <t>Prostatakarzinomzentrum Hegau-Bodensee</t>
  </si>
  <si>
    <t>Prostatakarzinomzentrum Ostvest</t>
  </si>
  <si>
    <t>St. Vincenz-Krankenhaus Datteln</t>
  </si>
  <si>
    <t>Prostatakarzinomzentrum Martha-Maria Halle-Dölau</t>
  </si>
  <si>
    <t>Prostatazentrum im Friederikenstift</t>
  </si>
  <si>
    <t>Universitätsklinikum Schleswig-Holstein, Campus Kiel</t>
  </si>
  <si>
    <t>Prostatakarzinomzentrum Klinikum Dortmund</t>
  </si>
  <si>
    <t>Interdisziplinäres Prostatakarzinomzentrum Nagold</t>
  </si>
  <si>
    <t>Universitäts-Prostatakarzinomzentrum Erlangen</t>
  </si>
  <si>
    <t>Prostatakarzinomzentrum Dresden-Friedrichstadt</t>
  </si>
  <si>
    <t>Prostatakarzinomzentrum Klinikum Stuttgart</t>
  </si>
  <si>
    <t>Klinikum Stuttgart, Katharinenhospital</t>
  </si>
  <si>
    <t>Prostatazentrum Klinikum Worms</t>
  </si>
  <si>
    <t>Prostatakarzinomzentrum Gütersloh</t>
  </si>
  <si>
    <t>Prostatakarzinomzentrum Ingolstadt</t>
  </si>
  <si>
    <t>Prostatakarzinomzentrum Trier</t>
  </si>
  <si>
    <t>Krankenhaus der Barmherzigen Brüder</t>
  </si>
  <si>
    <t>Prostatakarzinomzentrum Ludwigsburg</t>
  </si>
  <si>
    <t>Prostatakarzinomzentrum Straubing</t>
  </si>
  <si>
    <t>Prostatakarzinomzentrum Villingen-Schwenningen</t>
  </si>
  <si>
    <t>Brüderkrankenhaus St. Josef Paderborn</t>
  </si>
  <si>
    <t>Prostatazentrum Wolfsburg</t>
  </si>
  <si>
    <t>Prostatakarzinomzentrum Luckenwalde</t>
  </si>
  <si>
    <t>Prostatakarzinomzentrum Ulm</t>
  </si>
  <si>
    <t>Caritas-Krankenhaus St. Josef</t>
  </si>
  <si>
    <t>Katholisches Krankenhaus St. Johann Nepomuk Erfurt</t>
  </si>
  <si>
    <t>Prostatakarzinomzentrum Klinikum Großburgwedel</t>
  </si>
  <si>
    <t>KRH Klinikum Großburgwedel</t>
  </si>
  <si>
    <t>Prostatakrebszentrum Jena</t>
  </si>
  <si>
    <t>Universitätsklinikum Leipzig AöR</t>
  </si>
  <si>
    <t>Prostatakarzinomzentrum Braunschweig</t>
  </si>
  <si>
    <t>Städtisches Klinikum Braunschweig</t>
  </si>
  <si>
    <t>Prostatakarzinomzentrum Mannheim</t>
  </si>
  <si>
    <t>Prostatakarzinomzentrum Fürth</t>
  </si>
  <si>
    <t>Klinikum Fürth</t>
  </si>
  <si>
    <t>Prostatakrebszentrum Lüneburg</t>
  </si>
  <si>
    <t>Prostatakarzinomzentrum Koblenz-Mittelrhein</t>
  </si>
  <si>
    <t>Bundeswehrzentralkrankenhaus Koblenz</t>
  </si>
  <si>
    <t>Universitätsklinikum Münster</t>
  </si>
  <si>
    <t>Prostatakarzinomzentrum an der UMG</t>
  </si>
  <si>
    <t>Universitätsmedizin Greifswald</t>
  </si>
  <si>
    <t>Anzahl Primärfälle</t>
  </si>
  <si>
    <t>DFS (Disease Free Survival)  in %</t>
  </si>
  <si>
    <t>OAS (Overall Survival) absolut</t>
  </si>
  <si>
    <t>OAS (Overall Survival)  in %</t>
  </si>
  <si>
    <t>durchschnittliche Follow-Up-Quote &lt; 80%</t>
  </si>
  <si>
    <t>&lt; Follow-Up</t>
  </si>
  <si>
    <t>DFS auffällig niedrig</t>
  </si>
  <si>
    <t xml:space="preserve">OAS auffällig niedrig </t>
  </si>
  <si>
    <t xml:space="preserve">  </t>
  </si>
  <si>
    <t>1 a)</t>
  </si>
  <si>
    <t xml:space="preserve">Anzahl Primärfälle Prostatakarzinom </t>
  </si>
  <si>
    <t>Aufteilung Primärfälle mit lokal begrenztem Prostatakarzinom</t>
  </si>
  <si>
    <t>Definitive Strahlentherapie</t>
  </si>
  <si>
    <t>1a</t>
  </si>
  <si>
    <t>2b</t>
  </si>
  <si>
    <t>2a</t>
  </si>
  <si>
    <t>1b1</t>
  </si>
  <si>
    <t>1b2</t>
  </si>
  <si>
    <t>1b3</t>
  </si>
  <si>
    <t>3a</t>
  </si>
  <si>
    <t>3b</t>
  </si>
  <si>
    <t>Nicht universitär / Akademisches Lehrkrankenhaus</t>
  </si>
  <si>
    <t>1.2.1</t>
  </si>
  <si>
    <t>1.2.4</t>
  </si>
  <si>
    <t>1.4.4</t>
  </si>
  <si>
    <t>1.7.5</t>
  </si>
  <si>
    <t>5.2.1</t>
  </si>
  <si>
    <t>≥ 5%</t>
  </si>
  <si>
    <t>≥ 95%</t>
  </si>
  <si>
    <t>Zähler/ Anzahl</t>
  </si>
  <si>
    <t>Prostatakarzinomzentrum Oberhausen Niederrhein</t>
  </si>
  <si>
    <t>Evangelisches und Johanniterkrankenhaus Oberhausen</t>
  </si>
  <si>
    <t>Prostatakrebszentrum Bonn/Rhein-Sieg</t>
  </si>
  <si>
    <t>Kennzahl</t>
  </si>
  <si>
    <t>Art</t>
  </si>
  <si>
    <t>Zähler :</t>
  </si>
  <si>
    <t>1. Zähler muss eine positive ganze Zahl sein.</t>
  </si>
  <si>
    <t>2. Zähler kann nicht größer als Nenner sein.</t>
  </si>
  <si>
    <t>Nenner:</t>
  </si>
  <si>
    <t xml:space="preserve">1. Nenner muss eine positive ganze Zahl sein. </t>
  </si>
  <si>
    <t>2. Nenner kann nicht kleiner als Zähler sein.</t>
  </si>
  <si>
    <t>3. Zähler kann nicht größer sein als Anzahl Primärfälle.</t>
  </si>
  <si>
    <t>Zähler:</t>
  </si>
  <si>
    <t>Übertrag erfolgt aus Tabellenblatt Basisdaten.</t>
  </si>
  <si>
    <t>Übertag in Kennzahlenbogen und Matrix erfolgt automatisch.</t>
  </si>
  <si>
    <t>Vorstellung in der wöchentlichen prätherapeutischen Konferenz</t>
  </si>
  <si>
    <t>HDR-Brachytherapie
* Durchführung dieser Therapieform ist freiwillig!</t>
  </si>
  <si>
    <t>a</t>
  </si>
  <si>
    <t>b</t>
  </si>
  <si>
    <t>Texte Matrix Datenquali</t>
  </si>
  <si>
    <t>Fehlermeldungen Matrix</t>
  </si>
  <si>
    <t>Ganze Zahl zwischen 0 und 5000 eingeben.</t>
  </si>
  <si>
    <t>zu wenig Primärfälle angegeben</t>
  </si>
  <si>
    <t>DFS auffällig hoch</t>
  </si>
  <si>
    <t>OAS auffällig hoch</t>
  </si>
  <si>
    <t>DFS niedrig</t>
  </si>
  <si>
    <t>MATRIX- Hilfstabelle</t>
  </si>
  <si>
    <t>D</t>
  </si>
  <si>
    <t>G</t>
  </si>
  <si>
    <t>J</t>
  </si>
  <si>
    <t>M</t>
  </si>
  <si>
    <t>Tabelle Plausibilitätsabfragen:</t>
  </si>
  <si>
    <t>C</t>
  </si>
  <si>
    <t>Kennzahl-
definition</t>
  </si>
  <si>
    <t>Basisdaten Prostata</t>
  </si>
  <si>
    <t xml:space="preserve">≥ 100 </t>
  </si>
  <si>
    <t>nicht relevant</t>
  </si>
  <si>
    <t>leere Zellen</t>
  </si>
  <si>
    <t>Nicht gelistet</t>
  </si>
  <si>
    <t>Unbekannt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</si>
  <si>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</si>
  <si>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</si>
  <si>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</si>
  <si>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</si>
  <si>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</si>
  <si>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</si>
  <si>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</si>
  <si>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</si>
  <si>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</si>
  <si>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</si>
  <si>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</si>
  <si>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</si>
  <si>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</si>
  <si>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</si>
  <si>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</si>
  <si>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</si>
  <si>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</si>
  <si>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</si>
  <si>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</si>
  <si>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</si>
  <si>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</si>
  <si>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</si>
  <si>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</si>
  <si>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</si>
  <si>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</si>
  <si>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</si>
  <si>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</si>
  <si>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</si>
  <si>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</si>
  <si>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</si>
  <si>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</si>
  <si>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</si>
  <si>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</si>
  <si>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</si>
  <si>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</si>
  <si>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</si>
  <si>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</si>
  <si>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</si>
  <si>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</si>
  <si>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</si>
  <si>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</si>
  <si>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</si>
  <si>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</si>
  <si>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</si>
  <si>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</si>
  <si>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</si>
  <si>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</si>
  <si>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</si>
  <si>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</si>
  <si>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</si>
  <si>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</si>
  <si>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</si>
  <si>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</si>
  <si>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</si>
  <si>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</si>
  <si>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</si>
  <si>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</si>
  <si>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t>
  </si>
  <si>
    <t>B</t>
  </si>
  <si>
    <t>Angabe Primärfälle</t>
  </si>
  <si>
    <t>inkorrekt</t>
  </si>
  <si>
    <t>zu viele Patienten im Follow Up</t>
  </si>
  <si>
    <t>zu viele Patienten bei DFS absolut</t>
  </si>
  <si>
    <t>zu viele Patienten bei OAS absolut</t>
  </si>
  <si>
    <t>Spalte D</t>
  </si>
  <si>
    <t>Spalte F</t>
  </si>
  <si>
    <t>Kennzahlenbogen Prostata</t>
  </si>
  <si>
    <t>Kennzahlenbogen - Analyseprotokoll Datendefizite Prostata</t>
  </si>
  <si>
    <t>Matrix - Analyseprotokoll Datendefizite Prostata</t>
  </si>
  <si>
    <t>Matrix - Ergebnisqualität Prostata</t>
  </si>
  <si>
    <t>Spalte/ Zelle</t>
  </si>
  <si>
    <t>&lt; 0,01%</t>
  </si>
  <si>
    <t>Werte Spalte I "DFS absolut" müssen kleiner gleich sein als Spalte F "Patienten mit Follow-Up"</t>
  </si>
  <si>
    <t>Werte Spalte L "OAS absolut" müssen kleiner gleich sein als Spalte F "Patienten mit Follow-Up"</t>
  </si>
  <si>
    <t>Werte Spalte F "Patienten mit Follow-Up" müssen kleiner gleich sein als Spalte D "Anzahl Primärfälle"</t>
  </si>
  <si>
    <t>geringe Follow-Up Quote der Nachsorgejahre</t>
  </si>
  <si>
    <t>Alle relevanten Nachsorgejahre sind zu bearbeiten, abhängig vom Datum der Erstzertifizierung</t>
  </si>
  <si>
    <t>Geringe Follow-Up Quote der Nachsorgejahre</t>
  </si>
  <si>
    <t>&lt; 50%</t>
  </si>
  <si>
    <t>x &lt; 50%</t>
  </si>
  <si>
    <t>J22</t>
  </si>
  <si>
    <t>J23</t>
  </si>
  <si>
    <t>x &lt; 60%</t>
  </si>
  <si>
    <t>x &lt; 70%</t>
  </si>
  <si>
    <t>x &lt; 80%</t>
  </si>
  <si>
    <t>M23</t>
  </si>
  <si>
    <t>x &lt; 90%</t>
  </si>
  <si>
    <t>x &lt; 60% || x = 100%</t>
  </si>
  <si>
    <t>x &lt; 70% || x = 100%</t>
  </si>
  <si>
    <t>x &lt; 80% || x = 100%</t>
  </si>
  <si>
    <t>x &lt; 90% || x = 100%</t>
  </si>
  <si>
    <t>M20</t>
  </si>
  <si>
    <t>M21</t>
  </si>
  <si>
    <t>M22</t>
  </si>
  <si>
    <t>OAS auffällig niedrig oder hoch</t>
  </si>
  <si>
    <t xml:space="preserve">OAS </t>
  </si>
  <si>
    <t>OAS 2011</t>
  </si>
  <si>
    <t xml:space="preserve">Nicht ausgefüllte Zellen von relevanten Nachsorgejahren </t>
  </si>
  <si>
    <t>Follow-Up Quote in % (F / D)</t>
  </si>
  <si>
    <t>Bundesland / Land</t>
  </si>
  <si>
    <t>1. DFS / OAS (jährliche Bestimmung)</t>
  </si>
  <si>
    <t>Erläuterung hinsichtlich Datendefizit
Begründung / Ursachenanalyse / Aktionen</t>
  </si>
  <si>
    <t>G &lt; 70%</t>
  </si>
  <si>
    <t>Ansprechpartner</t>
  </si>
  <si>
    <t xml:space="preserve">               Erstelldatum</t>
  </si>
  <si>
    <t>c37.CancerCenter</t>
  </si>
  <si>
    <t>CREDOS</t>
  </si>
  <si>
    <t>Tudok (Tumorzentrum Regensburg)</t>
  </si>
  <si>
    <t>Daten-qualität</t>
  </si>
  <si>
    <t>Plausi unklar</t>
  </si>
  <si>
    <t>Tumorzentrum Ostsachsen</t>
  </si>
  <si>
    <t>Tumorzentrum Weser-Ems</t>
  </si>
  <si>
    <t>Prostatakarzinomzentrum am Diakonissenkrankenhaus Dresden</t>
  </si>
  <si>
    <t>Diakonissenkrankenhaus Dresden</t>
  </si>
  <si>
    <t>relevante Nachsorgejahre nicht / unvollständig bearbeitet</t>
  </si>
  <si>
    <t>Allgemeine Feststellungen</t>
  </si>
  <si>
    <t>Allgemeine Hinweise</t>
  </si>
  <si>
    <t>Allgemeine Abweichungen</t>
  </si>
  <si>
    <t>Bewertung Ausschuss</t>
  </si>
  <si>
    <t>Anmerkung OnkoZert</t>
  </si>
  <si>
    <t>Feststellung</t>
  </si>
  <si>
    <t>Hinweis</t>
  </si>
  <si>
    <t>Abweichung</t>
  </si>
  <si>
    <t>1 b)1</t>
  </si>
  <si>
    <t>1 b)2</t>
  </si>
  <si>
    <t>1 b)3</t>
  </si>
  <si>
    <t>Datenverifizierung_ID</t>
  </si>
  <si>
    <t>ID_intern</t>
  </si>
  <si>
    <t>lokal begrenzt (T1/2-N0-M0)</t>
  </si>
  <si>
    <t>ID:a</t>
  </si>
  <si>
    <t>ID:b</t>
  </si>
  <si>
    <t>ID:c</t>
  </si>
  <si>
    <t>ID:d</t>
  </si>
  <si>
    <t>Sollvorgabe nicht erfüllt; durchschnittliche Follow-Up Quote &lt; 80%; ID: e</t>
  </si>
  <si>
    <t>ID: f</t>
  </si>
  <si>
    <t>Plausibilität unklar; durchschnittliche Follow-Up Quote &gt; 95%; ID: g</t>
  </si>
  <si>
    <t>ID: h</t>
  </si>
  <si>
    <t>DFS auffällig niedrig oder hoch</t>
  </si>
  <si>
    <t>ID: j</t>
  </si>
  <si>
    <t>ID: i</t>
  </si>
  <si>
    <t>Erläuterung hinsichtlich Datendefizit</t>
  </si>
  <si>
    <t>Prostatakarzinomzentrum Sana Klinikum Hof</t>
  </si>
  <si>
    <t>Österreich</t>
  </si>
  <si>
    <t>Datum EZ</t>
  </si>
  <si>
    <t>Kennzahldefinition</t>
  </si>
  <si>
    <r>
      <t xml:space="preserve">Eingeleitete / geplante Aktionen
</t>
    </r>
    <r>
      <rPr>
        <sz val="8"/>
        <color indexed="8"/>
        <rFont val="Arial"/>
        <family val="2"/>
      </rPr>
      <t>(bei plausibler Begründung keine Aktion erforderlich)</t>
    </r>
  </si>
  <si>
    <t>Für Übertragung in Datendefizite_KB:</t>
  </si>
  <si>
    <t>Alle KN leer:</t>
  </si>
  <si>
    <t xml:space="preserve">        Erstelldatum</t>
  </si>
  <si>
    <t xml:space="preserve">      Erstelldatum</t>
  </si>
  <si>
    <t>Plausibilität unklar; OAS auffällig niedrig; ID: k</t>
  </si>
  <si>
    <t>UroCloud</t>
  </si>
  <si>
    <t>Unvollständige Jahre</t>
  </si>
  <si>
    <t>Nein</t>
  </si>
  <si>
    <t>KN</t>
  </si>
  <si>
    <t>Prostatakrebscentrum Münster-Süd</t>
  </si>
  <si>
    <t>Herz-Jesu-Krankenhaus Münster-Hiltrup</t>
  </si>
  <si>
    <t>Prostatakrebszentrum des Universitätsklinikums Würzburg</t>
  </si>
  <si>
    <t>Universitätsklinikum Würzburg</t>
  </si>
  <si>
    <t>Prostatakrebszentrum Ammerland-Klinik</t>
  </si>
  <si>
    <t>Universitätskliniken Genf</t>
  </si>
  <si>
    <t>Prostatakrebszentrum Traunstein</t>
  </si>
  <si>
    <t>Klinikum St. Elisabeth Straubing</t>
  </si>
  <si>
    <t>Klinikum Wolfsburg</t>
  </si>
  <si>
    <t>Klinikum Traunstein/Kliniken Südostbayern AG</t>
  </si>
  <si>
    <t>ORBIS-ODOK</t>
  </si>
  <si>
    <t>ONKOSTAR</t>
  </si>
  <si>
    <t>ONDIS</t>
  </si>
  <si>
    <t>Tumordokumentation des Instituts für Krebsepidemiologie</t>
  </si>
  <si>
    <t>Prostatakrebszentrum Heilig Geist-Krankenhaus Köln</t>
  </si>
  <si>
    <t>Prostatakrebszentrum Urologische Klinik Sindelfingen</t>
  </si>
  <si>
    <t>Klinikverbund Südwest, Klinikum Sindelfingen-Böblingen, Kliniken Sindelfingen</t>
  </si>
  <si>
    <t>Derzeit keine
Vorgaben</t>
  </si>
  <si>
    <t xml:space="preserve">Permanente Seedimplantation – 
D 90 &gt; 130 Gy
* Durchführung dieser Therapieform ist freiwillig!    </t>
  </si>
  <si>
    <t>Befundbericht Stanzbiopsie</t>
  </si>
  <si>
    <t>Möglichst häufig vollständige Befundberichte</t>
  </si>
  <si>
    <t>Befundbericht Lymphknoten</t>
  </si>
  <si>
    <t>Active-Surveillance (AS)</t>
  </si>
  <si>
    <t xml:space="preserve">Möglichst häufig SRT mit frühzeitigem Beginn </t>
  </si>
  <si>
    <t>Postoperative Komplikationen nach Radikaler Prostatektomie</t>
  </si>
  <si>
    <t>Möglichst selten Komplikationen nach RPE</t>
  </si>
  <si>
    <r>
      <t xml:space="preserve">Begründung / Ursache
</t>
    </r>
    <r>
      <rPr>
        <sz val="8"/>
        <color indexed="8"/>
        <rFont val="Arial"/>
        <family val="2"/>
      </rPr>
      <t>(min. 30 Zeichen / max. 500 Zeichen)</t>
    </r>
  </si>
  <si>
    <t>Datum Erstzertifizierung</t>
  </si>
  <si>
    <t>3. Summe Nenner KN 2a und KN 2b muss kleiner als Anzahl Primärfälle sein.</t>
  </si>
  <si>
    <t>2a, 2b</t>
  </si>
  <si>
    <t xml:space="preserve">1.Nenner muss eine positive ganze Zahl sein. </t>
  </si>
  <si>
    <t>2.Nenner kann nicht kleiner als Zähler sein.</t>
  </si>
  <si>
    <t>Zähler muss eine positive ganze Zahl sein.</t>
  </si>
  <si>
    <t>max. 5000</t>
  </si>
  <si>
    <t>15, 16, 17, 18, 19, 20, 21, 22, 23, 24</t>
  </si>
  <si>
    <t>Primärfälle 
(= Kennzahl 1a)</t>
  </si>
  <si>
    <t>Primärfälle
(= Kennzahl 1a)</t>
  </si>
  <si>
    <t>XML-OncoBox Prostata</t>
  </si>
  <si>
    <t>Krebsregister Schweiz</t>
  </si>
  <si>
    <t>Krebsregister Österreich</t>
  </si>
  <si>
    <t>2a, 2b, 3a, 13</t>
  </si>
  <si>
    <t>3. Nenner kann nicht größer als die Anzahl der Primärfälle sein.</t>
  </si>
  <si>
    <t>3b, 5, 6, 7, 10, 11, 13; 14</t>
  </si>
  <si>
    <t>19,  21, 22, 23, 24</t>
  </si>
  <si>
    <t>15;16;20</t>
  </si>
  <si>
    <t>Fehlermeldungen Basisdaten</t>
  </si>
  <si>
    <t>Fehlermeldungen Kennzahlenbogen</t>
  </si>
  <si>
    <t>Nur Texteingabe bis 100 Zeichen möglich.</t>
  </si>
  <si>
    <t>Format: dd.mm.jjjj</t>
  </si>
  <si>
    <t>Zeitraum zwischen 01.09.2014 - 01.01.2016 angeben.</t>
  </si>
  <si>
    <t>Zuerst Reg.-Nr auswählen, dann das jeweilig zugehörige Krebsregister.</t>
  </si>
  <si>
    <t>3a, 13, 
15; 16; 20</t>
  </si>
  <si>
    <t>3b; 11</t>
  </si>
  <si>
    <t>3. Nenner kann nicht größer sein als die Anzahl der lokal begrenzten Primärfälle mit hohem Risiko (Basisdaten Zelle I32).</t>
  </si>
  <si>
    <t>3. Nenner kann nicht größer sein als die Anzahl der lokal fortgeschrittenen Primärfälle (Basisdaten Zelle I33).</t>
  </si>
  <si>
    <t>fortgeschritten (N1, M0)</t>
  </si>
  <si>
    <t>fortgeschritten (N0/1, M1)</t>
  </si>
  <si>
    <t>Krebsregister Italien</t>
  </si>
  <si>
    <t>ProDos</t>
  </si>
  <si>
    <t>Angabe Primärfälle mit definitiver Strahlentherapie</t>
  </si>
  <si>
    <t>Angabe Anzahl Primärfälle mit HDR-Brachytherapie</t>
  </si>
  <si>
    <t>OAS auffällig niedrig</t>
  </si>
  <si>
    <t>Angabe Jahr Primärfälle</t>
  </si>
  <si>
    <t>nicht mehr gültig</t>
  </si>
  <si>
    <t>UCC-TDS (Tumorzentrum Dresden)</t>
  </si>
  <si>
    <t>lokale Behandlung der Prostata</t>
  </si>
  <si>
    <t>Active Surveillance</t>
  </si>
  <si>
    <t>Watchful Waiting</t>
  </si>
  <si>
    <t>Gesamt</t>
  </si>
  <si>
    <t>RPE</t>
  </si>
  <si>
    <t xml:space="preserve">Definitive perkutane
Strahlentherapie  </t>
  </si>
  <si>
    <t>LDR-Brachytherapie</t>
  </si>
  <si>
    <t>HDR-Brachytherapie</t>
  </si>
  <si>
    <t>lokal fortgeschritten (T3/4-N0-M0)</t>
  </si>
  <si>
    <t>davon Pat. mit Historie "AS/WW"</t>
  </si>
  <si>
    <t>davon Pat. parallel Status Primärfall-Pat.</t>
  </si>
  <si>
    <t>Bearbeitungshinweise:</t>
  </si>
  <si>
    <t>3) z.B. HIFU,….</t>
  </si>
  <si>
    <t>4) z.B. alleinige Hormontherapie, Chemotherapie</t>
  </si>
  <si>
    <t>7)  nur in Ausnahmen anwendbar; z.B. langjährige Hormontherapie vor Erstdiagnose, Zufallsbefund nach radikaler Zystektomie</t>
  </si>
  <si>
    <t>Kennzahlenjahr</t>
  </si>
  <si>
    <t>&lt; 10%</t>
  </si>
  <si>
    <t>&gt; 90%</t>
  </si>
  <si>
    <t>Prostatakarzinomzentrum der Kliniken Maria Hilf GmbH Mönchengladbach</t>
  </si>
  <si>
    <t>Klinikum Westfalen / Knappschaftskrankenhaus Dortmund</t>
  </si>
  <si>
    <t>ProstataKarzinomZentrum Eschweiler</t>
  </si>
  <si>
    <t>Krankenhaus Nordwest GmbH</t>
  </si>
  <si>
    <t>Interdisziplinäres Prostatakarzinomzentrum der Charité (IPZ) im Charité Comprehensive Cancer Center</t>
  </si>
  <si>
    <t>SRH Krankenhaus Sigmaringen</t>
  </si>
  <si>
    <t>Krankenhaus Martha-Maria Halle-Dölau</t>
  </si>
  <si>
    <t>Klinikum Dortmund</t>
  </si>
  <si>
    <t>Klinikverbund Südwest, Kreisklinikum Calw-Nagold, Kliniken Nagold</t>
  </si>
  <si>
    <t>SRH Wald-Klinikum Gera</t>
  </si>
  <si>
    <t>Klinikum Worms</t>
  </si>
  <si>
    <t>St. Antonius-Hospital Gronau</t>
  </si>
  <si>
    <t>Schwarzwald Baar Klinikum Villingen-Schwenningen</t>
  </si>
  <si>
    <t>Prostatakarzinomzentrum am Universitätsklinikum Leipzig</t>
  </si>
  <si>
    <t>Prostatakrebszentrum Bremen-Mitte</t>
  </si>
  <si>
    <t>Gesundheit Nord, Standort Klinikum Bremen-Mitte</t>
  </si>
  <si>
    <t>Universitätsmedizin Rostock</t>
  </si>
  <si>
    <t>Universitätsmedizin Mannheim</t>
  </si>
  <si>
    <t xml:space="preserve">UKM - Prostatakarzinomzentrum </t>
  </si>
  <si>
    <t>Prostatakarzinomzentrum an den Johanniter-Kliniken Bonn</t>
  </si>
  <si>
    <t>Prostatazentrum Luzern</t>
  </si>
  <si>
    <t>Luzerner Kantonsspital</t>
  </si>
  <si>
    <t>ProstaTUM</t>
  </si>
  <si>
    <t>Klinikum rechts der Isar der Technischen Universität München</t>
  </si>
  <si>
    <t>RPE (Summe aus F40 + F47)</t>
  </si>
  <si>
    <t>Zufallsbefund nach RZE  (Summe aus H40 + H47)</t>
  </si>
  <si>
    <t>Zufallsbefund nach RZE</t>
  </si>
  <si>
    <t>Primärfallpat. gesamt</t>
  </si>
  <si>
    <t>Ist-Wert
ausfüllen</t>
  </si>
  <si>
    <t>Bei permanenter Seedimplantation sollte D 90 &gt; 130 Gy bei ≥ 90% erreicht werden</t>
  </si>
  <si>
    <t>Anzahl Primärfälle
(posttherapeutisch tumorfrei)</t>
  </si>
  <si>
    <t>c</t>
  </si>
  <si>
    <t>Primärfälle mit primär M1</t>
  </si>
  <si>
    <t>3c</t>
  </si>
  <si>
    <t>≥ 70%</t>
  </si>
  <si>
    <t>OncoBox</t>
  </si>
  <si>
    <t>Ausnahme</t>
  </si>
  <si>
    <t>G26</t>
  </si>
  <si>
    <t>G22 - G24</t>
  </si>
  <si>
    <t>J20 - J21</t>
  </si>
  <si>
    <t>J24</t>
  </si>
  <si>
    <t>M24</t>
  </si>
  <si>
    <t>G26 &lt; 80%</t>
  </si>
  <si>
    <t>G26 &gt; 95%</t>
  </si>
  <si>
    <t>Kliniken Nordoberpfalz, Standort Klinikum Weiden</t>
  </si>
  <si>
    <t>Klinikum der Stadt Ludwigshafen am Rhein gGmbH</t>
  </si>
  <si>
    <t>Prostatakrebszentrum UKSH Kiel</t>
  </si>
  <si>
    <t>Prostatakarzinomzentrum Ruit</t>
  </si>
  <si>
    <t>Marien Hospital Herne, Klinikum der Ruhr-Universität Bochum</t>
  </si>
  <si>
    <t>Klinikum Oldenburg</t>
  </si>
  <si>
    <t>Klinikum Gütersloh</t>
  </si>
  <si>
    <t>Klinikum Ingolstadt</t>
  </si>
  <si>
    <t>Prostatakarzinomzentrum am Katholischen Krankenhaus St. Johann Nepomuk Erfurt</t>
  </si>
  <si>
    <t>Prostatakarzinomzentrum St. Marien Amberg</t>
  </si>
  <si>
    <t>Prostatakrebszentrum am Kantonsspital Aarau</t>
  </si>
  <si>
    <t>Kantonsspital Aarau</t>
  </si>
  <si>
    <t>Prostatakrebszentrum Sana Kliniken Lübeck</t>
  </si>
  <si>
    <t>Sana Kliniken Lübeck</t>
  </si>
  <si>
    <t>Prostatakrebszentrum Lippe</t>
  </si>
  <si>
    <t>Prostatakrebszentrum Kantonsspital Baden</t>
  </si>
  <si>
    <t>Kantonsspital Baden</t>
  </si>
  <si>
    <t>Möglichst häufig Empfehlung der zahnärztlichen Untersuchung 
vor Beginn der Bisphosphonat oder Denosumab-Therapie</t>
  </si>
  <si>
    <t>≥ 90%</t>
  </si>
  <si>
    <t>Martini-Klinik am UKE</t>
  </si>
  <si>
    <t>Sana Klinikum Hof</t>
  </si>
  <si>
    <t>Diakovere Friederikenstift</t>
  </si>
  <si>
    <t>Prostatakrebszentrum am Cancer Center UniversitätsSpital Zürich</t>
  </si>
  <si>
    <t>medius KLINIK OSTFILDERN-RUIT</t>
  </si>
  <si>
    <t>Städtisches Klinikum Dresden, Standort Friedrichstadt</t>
  </si>
  <si>
    <t>Prostatakarzinomzentrum Deggendorf</t>
  </si>
  <si>
    <t>DONAUISAR Klinikum Deggendorf</t>
  </si>
  <si>
    <t>Klinikum St. Marien Amberg</t>
  </si>
  <si>
    <t>KRH Klinikum Siloah</t>
  </si>
  <si>
    <t>Universitäres Prostatakarzinomzentrum Mainz</t>
  </si>
  <si>
    <t>Universitätsmedizin der Johannes Gutenberg - Universität Mainz</t>
  </si>
  <si>
    <t>Prostatakrebszentrum am Westdeutschen Tumorzentrum - Universitätsmedizin Essen</t>
  </si>
  <si>
    <t>Universitätsklinikum Essen</t>
  </si>
  <si>
    <t>Prostatakrebszentrum Kliniken Essen-Mitte</t>
  </si>
  <si>
    <t>HFR Freiburg - Kantonsspital</t>
  </si>
  <si>
    <t>Prostatakrebszentrum Klinikum Friedrichshafen</t>
  </si>
  <si>
    <t>Klinik Hirslanden Zürich</t>
  </si>
  <si>
    <t>Prostatakarzinomzentrums am Krukenberg-Krebszentrum Halle der Universitätsmedizin Halle (Saale)</t>
  </si>
  <si>
    <t>Universitätsklinikum Halle (Saale)</t>
  </si>
  <si>
    <t>Universitätsmedizin Göttingen</t>
  </si>
  <si>
    <r>
      <t xml:space="preserve">nicht interventionell </t>
    </r>
    <r>
      <rPr>
        <vertAlign val="superscript"/>
        <sz val="10"/>
        <color theme="1"/>
        <rFont val="Arial"/>
        <family val="2"/>
      </rPr>
      <t>2)</t>
    </r>
  </si>
  <si>
    <r>
      <t xml:space="preserve">interventionell </t>
    </r>
    <r>
      <rPr>
        <vertAlign val="superscript"/>
        <sz val="10"/>
        <color theme="1"/>
        <rFont val="Arial"/>
        <family val="2"/>
      </rPr>
      <t>2)</t>
    </r>
  </si>
  <si>
    <r>
      <t xml:space="preserve">ausschließliche systemische 
Behandlung  </t>
    </r>
    <r>
      <rPr>
        <vertAlign val="superscript"/>
        <sz val="10"/>
        <color theme="1"/>
        <rFont val="Arial"/>
        <family val="2"/>
      </rPr>
      <t>4)</t>
    </r>
  </si>
  <si>
    <r>
      <t xml:space="preserve">andere Behandlung </t>
    </r>
    <r>
      <rPr>
        <vertAlign val="superscript"/>
        <sz val="10"/>
        <color theme="1"/>
        <rFont val="Arial"/>
        <family val="2"/>
      </rPr>
      <t>5)</t>
    </r>
  </si>
  <si>
    <r>
      <t xml:space="preserve">andere lokale Therapie </t>
    </r>
    <r>
      <rPr>
        <vertAlign val="superscript"/>
        <sz val="10"/>
        <color theme="1"/>
        <rFont val="Arial"/>
        <family val="2"/>
      </rPr>
      <t>3)</t>
    </r>
  </si>
  <si>
    <r>
      <t xml:space="preserve">a) Primärfall-Pat. </t>
    </r>
    <r>
      <rPr>
        <vertAlign val="superscript"/>
        <sz val="11"/>
        <color theme="1"/>
        <rFont val="Arial"/>
        <family val="2"/>
      </rPr>
      <t>1)</t>
    </r>
  </si>
  <si>
    <r>
      <t xml:space="preserve">niedrigem Risiko </t>
    </r>
    <r>
      <rPr>
        <vertAlign val="superscript"/>
        <sz val="10"/>
        <color theme="1"/>
        <rFont val="Arial"/>
        <family val="2"/>
      </rPr>
      <t>6)</t>
    </r>
  </si>
  <si>
    <r>
      <t xml:space="preserve">mittlerem Risiko </t>
    </r>
    <r>
      <rPr>
        <vertAlign val="superscript"/>
        <sz val="10"/>
        <color theme="1"/>
        <rFont val="Arial"/>
        <family val="2"/>
      </rPr>
      <t>6)</t>
    </r>
  </si>
  <si>
    <r>
      <t xml:space="preserve">hohem Risiko </t>
    </r>
    <r>
      <rPr>
        <vertAlign val="superscript"/>
        <sz val="10"/>
        <color theme="1"/>
        <rFont val="Arial"/>
        <family val="2"/>
      </rPr>
      <t>6)</t>
    </r>
  </si>
  <si>
    <r>
      <t xml:space="preserve">nicht zuzuordnen </t>
    </r>
    <r>
      <rPr>
        <vertAlign val="superscript"/>
        <sz val="10"/>
        <color theme="1"/>
        <rFont val="Arial"/>
        <family val="2"/>
      </rPr>
      <t>7)</t>
    </r>
  </si>
  <si>
    <r>
      <rPr>
        <b/>
        <sz val="9"/>
        <color theme="1"/>
        <rFont val="Arial"/>
        <family val="2"/>
      </rPr>
      <t>Pat. gesamt</t>
    </r>
    <r>
      <rPr>
        <sz val="9"/>
        <color theme="1"/>
        <rFont val="Arial"/>
        <family val="2"/>
      </rPr>
      <t xml:space="preserve"> (ohne Mehrfachnennung)</t>
    </r>
  </si>
  <si>
    <r>
      <t xml:space="preserve">Zentrumspat. GESAMT 
</t>
    </r>
    <r>
      <rPr>
        <sz val="10"/>
        <color theme="1"/>
        <rFont val="Arial"/>
        <family val="2"/>
      </rPr>
      <t>(Zeile 40 + 47 - 49)</t>
    </r>
  </si>
  <si>
    <r>
      <t xml:space="preserve">Operative Expertise
</t>
    </r>
    <r>
      <rPr>
        <sz val="10"/>
        <color theme="1"/>
        <rFont val="Arial"/>
        <family val="2"/>
      </rPr>
      <t>(Grundlage für EB 5.2.1)</t>
    </r>
  </si>
  <si>
    <t>RZE aufgrund von PCa  (Summe aus G40 + G47)</t>
  </si>
  <si>
    <t xml:space="preserve">Legende: 
RPE - Radikale Prostatektomie
RZE - Radikale Zystoprostatektomie
LDR - Low-Dose-Rate
HDR - High-Dose-Rate
PCa - Prostatakarzinom
AS - Active Surveillance
WW - Watchful Waiting </t>
  </si>
  <si>
    <t>RZE aufgrund von PCa</t>
  </si>
  <si>
    <t>Strahlentherapie und hormonablative Therapie bei lokal begrenztem PCa mit hohem Risiko</t>
  </si>
  <si>
    <t>5) Andere Behandlung; z.B. palliative Bestrahlung von Knochenmetastasen, Best Supportive Care</t>
  </si>
  <si>
    <t>≥ 50</t>
  </si>
  <si>
    <t>Keine hormonablative Therapie bei lokal fortgeschrittenem Prostatakarzinom mit radikaler Prostatektomie</t>
  </si>
  <si>
    <t>Ausnahme (Plausibilität unklar)</t>
  </si>
  <si>
    <t>Summe Plausibilität unklar</t>
  </si>
  <si>
    <t>optional - Ausnahme (Plausibilität unklar)</t>
  </si>
  <si>
    <t>Vinzenzkrankenhaus Hannover</t>
  </si>
  <si>
    <t>Prostatakrebszentrum im Brüderkrankenhaus St. Josef Paderborn</t>
  </si>
  <si>
    <t>Prostatakrebszentrum Medizinische Hochschule Hannover</t>
  </si>
  <si>
    <t>Medizinische Hochschule Hannover</t>
  </si>
  <si>
    <t>Städtisches Klinikum Lüneburg</t>
  </si>
  <si>
    <t>Johanniter GmbH - Johanniter Krankenhaus Bonn</t>
  </si>
  <si>
    <t>Prostatazentrum Freiburg</t>
  </si>
  <si>
    <t>Universitätsklinikum Freiburg</t>
  </si>
  <si>
    <t>Klinikum Aschaffenburg - Alzenau gemeinnützige GmbH Standort AB</t>
  </si>
  <si>
    <t>Prostatakrebszentrum Freiburg PZF HFR Freiburg - Daler-Spital</t>
  </si>
  <si>
    <t>Prostatakrebszentrum Klinik Hirslanden Zürich</t>
  </si>
  <si>
    <t>Prostatakrebszentrum Franziskus Hospital Bielefeld</t>
  </si>
  <si>
    <t>Franziskus Hospital Bielefeld</t>
  </si>
  <si>
    <t>Prostatakrebszentrum Hôpitaux Robert Schuman</t>
  </si>
  <si>
    <t>Hôpitaux Robert Schuman</t>
  </si>
  <si>
    <t>Luxemburg</t>
  </si>
  <si>
    <t>Prostatakrebszentrum der Universitätsmedizin Göttingen</t>
  </si>
  <si>
    <t>Prostata Tumorzentrum Winterthur</t>
  </si>
  <si>
    <t>Kantonsspital Winterthur</t>
  </si>
  <si>
    <t>Prostatakarzinomzentrum am Auguste-Viktoria-Klinikum Berlin</t>
  </si>
  <si>
    <t>Vivantes Auguste-Viktoria-Klinikum Berlin</t>
  </si>
  <si>
    <t>Prostatakrebszentrum Universitätsspital Basel</t>
  </si>
  <si>
    <t>Universitätsspital Basel</t>
  </si>
  <si>
    <t>Prostatakrebszentrum Leipziger Land</t>
  </si>
  <si>
    <t>Sana Klinikum Borna</t>
  </si>
  <si>
    <t>Prostatakrebszentrum Helios Kliniken Schwerin</t>
  </si>
  <si>
    <t>Helios Kliniken Schwerin</t>
  </si>
  <si>
    <t>Martini-Data</t>
  </si>
  <si>
    <t>ODSeasy / ODSeasyNet</t>
  </si>
  <si>
    <t>Oncodossier (Eigenentwicklung auf Basis ORBIS)</t>
  </si>
  <si>
    <t>Prostatakrebszentrum im Zentrum für Urogenitale Tumoren Tübingen</t>
  </si>
  <si>
    <t>Primärfälle des Nenners unter AS</t>
  </si>
  <si>
    <t>≤ 15%</t>
  </si>
  <si>
    <t>Operationen des Nenners mit R1</t>
  </si>
  <si>
    <t>Primärfälle des Nenners mit definitiver Strahlentherapie</t>
  </si>
  <si>
    <t>Primärfälle des Nenners bei denen D90 &gt; 130 Gy erreicht wurde</t>
  </si>
  <si>
    <t>Primärfälle mit LDR-Monotherapie</t>
  </si>
  <si>
    <t>Primärfälle mit Stanzbiopsie</t>
  </si>
  <si>
    <t>Primärfälle des Nenners mit Befundberichten mit Angabe von:
• pN-Kategorie
• Zahl befallener LK im Verhältnis zu entfernten LK</t>
  </si>
  <si>
    <t xml:space="preserve">Primärfälle mit Lymphadenektomie </t>
  </si>
  <si>
    <t>Beginn Salvage-Radiotherapie bei rezidiviertem PCa</t>
  </si>
  <si>
    <t>Unerwünschte Wirkungen nach Strahlentherapie</t>
  </si>
  <si>
    <t>Möglichst selten unerwünschte Wirkungen nach Strahlentherapie</t>
  </si>
  <si>
    <t>Primärfälle des Nenners mit adjuvanter hormonablativer Therapie</t>
  </si>
  <si>
    <t>Primärfälle pT3-4 pN0 M0 und RPE</t>
  </si>
  <si>
    <t>Clinical Information Catalogue (CIC) (Eigenentwicklung)</t>
  </si>
  <si>
    <t>TD System KEM (Eigenentwicklung)</t>
  </si>
  <si>
    <t>Ortenau Klinikum Offenburg-Kehl</t>
  </si>
  <si>
    <t>Prostatakarzinomzentrum Heilbronn-Franken</t>
  </si>
  <si>
    <t>Prostatakrebszentrum Gera</t>
  </si>
  <si>
    <t>Prostatakarzinomzentrum der Ruhr-Universität Bochum am Marien Hospital Herne</t>
  </si>
  <si>
    <t>Helios Prostatakarzinomzentrum Erfurt</t>
  </si>
  <si>
    <t>Helios Klinikum Erfurt</t>
  </si>
  <si>
    <t>KMG Klinikum Luckenwalde</t>
  </si>
  <si>
    <t>Ordensklinikum Linz Elisabethinen</t>
  </si>
  <si>
    <t>Klinikum Friedrichshafen</t>
  </si>
  <si>
    <t>Prostatakrebszentrum St. Claraspital Basel</t>
  </si>
  <si>
    <t>St. Claraspital</t>
  </si>
  <si>
    <t>1.2.5</t>
  </si>
  <si>
    <t>Charité - Campus Mitte</t>
  </si>
  <si>
    <t>Prostatakarzinomzentrum Reutlingen</t>
  </si>
  <si>
    <t xml:space="preserve">Klinikum am Steinenberg, Kreiskliniken Reutlingen </t>
  </si>
  <si>
    <t>Prostatakarzinomzentrum Troisdorf Rhein-Sieg</t>
  </si>
  <si>
    <t>GFO Kliniken Troisdorf, Standort St. Josef</t>
  </si>
  <si>
    <t>Prostatakarzinomzentrum des Universitätsklinikums Düsseldorf</t>
  </si>
  <si>
    <t>Centrum für Integrierte Onkologie Aachen Bonn Köln Düsseldorf im Universitätsklinikum Düsseldorf</t>
  </si>
  <si>
    <t>Prostatakrebszentrum EvKB Bielefeld</t>
  </si>
  <si>
    <t xml:space="preserve">Evangelisches Klinikum Bethel </t>
  </si>
  <si>
    <t>Prostatakrebszentrum im CIO Köln</t>
  </si>
  <si>
    <t>Centrum für Integrierte Onkologie Aachen Bonn Köln Düsseldorf im Universitätsklinikum Köln</t>
  </si>
  <si>
    <t xml:space="preserve">   Pat. mit neuaufgetretenem Rezidiv</t>
  </si>
  <si>
    <t xml:space="preserve">   Pat. mit neuaufgetretener Fernmetastase</t>
  </si>
  <si>
    <t>EB/ LL</t>
  </si>
  <si>
    <t>1c)</t>
  </si>
  <si>
    <t>1a)</t>
  </si>
  <si>
    <t xml:space="preserve">1b) </t>
  </si>
  <si>
    <t>LL QI</t>
  </si>
  <si>
    <t>1c</t>
  </si>
  <si>
    <t>Prostatakrebszentrum am KRH Klinikum Siloah</t>
  </si>
  <si>
    <t>Prostatazentrum Ordensklinikum Linz</t>
  </si>
  <si>
    <t>Ammerland-Klinik Westerstede</t>
  </si>
  <si>
    <t>Stiftungsklinikum PROSELIS, Standort Prosper-Hospital Recklinghausen</t>
  </si>
  <si>
    <t xml:space="preserve">Prostatakrebszentrum St. Georg Leipzig </t>
  </si>
  <si>
    <t>Klinikum St. Georg Leipzig</t>
  </si>
  <si>
    <t>Prostatakrebszentrum Klinikum Nürnberg</t>
  </si>
  <si>
    <t>Klinikum Nürnberg</t>
  </si>
  <si>
    <t>Prostatakrebszentrum Augsburg - Schwaben</t>
  </si>
  <si>
    <t>Universitätsklinikum Augsburg - Medizincampus</t>
  </si>
  <si>
    <t>Lindenhofspital Bern</t>
  </si>
  <si>
    <t>Prostatakrebszentrum Barmherzige Brüder Wien</t>
  </si>
  <si>
    <t>Krankenhaus der Barmherzigen Brüder Wien</t>
  </si>
  <si>
    <t>1.5.4</t>
  </si>
  <si>
    <t>2) Jeder Pat. kann pro Kalenderjahr nur einer Therapie zugeordnet werden.
Der Pat. wird jeweils der führenden Therapie zugeordnet. Beispiele:  
- Der Pat. erhält eine perkutane Strahlentherapie und zusätzlich eine Hormontherapie, dann gehört dieser Pat. in Spalte I (Definitive perkutane Strahlentherapie)
- Im Januar wird AS/WW festgelegt und im Oktober erhält der Pat. auf eigenen Wunsch eine RPE. Dieser Pat. ist dann nur in Spalte F (RPE) einzutragen.</t>
  </si>
  <si>
    <r>
      <t xml:space="preserve">Zentrumspat. 
Prostatakarzinom </t>
    </r>
    <r>
      <rPr>
        <vertAlign val="superscript"/>
        <sz val="10"/>
        <color theme="1"/>
        <rFont val="Arial"/>
        <family val="2"/>
      </rPr>
      <t>1)</t>
    </r>
  </si>
  <si>
    <t>≥ 80%</t>
  </si>
  <si>
    <t>Pat. mit Z.n. RPE und PSA-Rezidiv und SRT</t>
  </si>
  <si>
    <t>Primärfälle pT1-2 N0 M0 und RPE (aus Vorkennzahlenjahr)</t>
  </si>
  <si>
    <t>Pat. des Nenners mit Empfehlung einer zahnärztlichen Untersuchung 
vor Beginn der Bisphosphonat oder Denosumab-Therapie</t>
  </si>
  <si>
    <t>Pat. mit Bisphosphonat- oder Denosumab-Therapie</t>
  </si>
  <si>
    <t>Fokale Therapie bei lokal fortgeschrittenem Prostatakarzinom</t>
  </si>
  <si>
    <t>Primärfälle des Nenners, die eine fokale Therapie erhalten haben</t>
  </si>
  <si>
    <t>Pat. des Nenners, die in der prätherapeutischen Konferenz vorgestellt wurden</t>
  </si>
  <si>
    <t>Pat. des Nenners, die stationär oder ambulant durch den Sozialdienst beraten wurden</t>
  </si>
  <si>
    <t>Anteil Studienpat.</t>
  </si>
  <si>
    <t>Pat., die in eine Studie mit Ethikvotum eingebracht wurden</t>
  </si>
  <si>
    <r>
      <rPr>
        <b/>
        <u/>
        <sz val="8"/>
        <color rgb="FF000000"/>
        <rFont val="Arial"/>
        <family val="2"/>
      </rPr>
      <t>Anmerkung:</t>
    </r>
    <r>
      <rPr>
        <sz val="8"/>
        <color indexed="8"/>
        <rFont val="Arial"/>
        <family val="2"/>
      </rPr>
      <t xml:space="preserve">
Im Sinne einer gendergerechten Sprache verwenden wir für die Begriffe „Patientinnen“, „Patienten“, „Patient*innen“ die Bezeichnung „Pat.“, die ausdrücklich jede Geschlechtszuschreibung (weiblich, männlich, divers) einschließt.</t>
    </r>
  </si>
  <si>
    <t>Adäquater Anteil an Pat. unter AS</t>
  </si>
  <si>
    <t>Möglichst hoher Anteil an Pat. mit hohem Risikoprofil u. perkutaner Strahlen- + Hormontherapie</t>
  </si>
  <si>
    <r>
      <t xml:space="preserve">Pat. mit Follow-Up </t>
    </r>
    <r>
      <rPr>
        <vertAlign val="superscript"/>
        <sz val="9"/>
        <rFont val="Arial"/>
        <family val="2"/>
      </rPr>
      <t>1)</t>
    </r>
  </si>
  <si>
    <t>Werte Spalte F "Pat. mit Follow-Up" müssen kleiner gleich sein als Spalte D "Anzahl Primärfälle"</t>
  </si>
  <si>
    <t>Werte Spalte I "DFS absolut" müssen kleiner gleich sein als Spalte F "Pat. mit Follow-Up"</t>
  </si>
  <si>
    <t>Werte Spalte L "OAS absolut" müssen kleiner gleich sein als Spalte F "Pat. mit Follow-Up"</t>
  </si>
  <si>
    <t xml:space="preserve"> In Ordnung</t>
  </si>
  <si>
    <t xml:space="preserve">              Sollvorgabe nicht erfüllt</t>
  </si>
  <si>
    <t>Prostatakarzinomzentrum Dresden am Nationalen Centrum für Tumorerkrankungen Dresden (NCT/UCC)</t>
  </si>
  <si>
    <t>Prostatakarzinomzentrum am Caritas-Krankenhaus St. Josef Regensburg</t>
  </si>
  <si>
    <t>Universitätsklinikum Frankfurt</t>
  </si>
  <si>
    <t>Helios Klinikum Bonn/Rhein-Sieg</t>
  </si>
  <si>
    <t>HELIOS Prostatakrebszentrum Krefeld</t>
  </si>
  <si>
    <t>HELIOS Klinikum Krefeld</t>
  </si>
  <si>
    <t>Prostatakrebszentrum Siloah St. Trudpert Klinikum Pforzheim</t>
  </si>
  <si>
    <t>Siloah St. Trudpert-Klinikum</t>
  </si>
  <si>
    <t>Oberschwabenklinik, St. Elisabethen-Klinikum, Ravensburg</t>
  </si>
  <si>
    <t>Prostatakrebszentrum am Klinikum Magdeburg</t>
  </si>
  <si>
    <t xml:space="preserve">Klinikum Magdeburg </t>
  </si>
  <si>
    <t>Prostatakrebszentrum Klinikum Bamberg</t>
  </si>
  <si>
    <t>Sozialstiftung Bamberg Klinikum am Bruderwald</t>
  </si>
  <si>
    <t>Prostatakarzinomzentrum am Knappschaftskrankenhaus Bottrop</t>
  </si>
  <si>
    <t>Knappschaftskrankenhaus Bottrop</t>
  </si>
  <si>
    <t>Prostatakrebszentrum am Helios Universitätsklinikum Wuppertal</t>
  </si>
  <si>
    <t>Helios Universitätsklinikum Wuppertal</t>
  </si>
  <si>
    <t>Prostatakrebszentrum St. Anna Luzern</t>
  </si>
  <si>
    <t>Hirslanden Klinik St. Anna Luzern</t>
  </si>
  <si>
    <t>Prostatakrebszentrum Barmherzige Brüder Regensburg</t>
  </si>
  <si>
    <t>Krankenhaus Barmherzige Brüder Regensburg</t>
  </si>
  <si>
    <t>Vivantes Klinikum Am Urban Berlin</t>
  </si>
  <si>
    <t>Prostatakrebszentrum SAAR an den SHG Kliniken Völklingen</t>
  </si>
  <si>
    <t>SHG-Kliniken Völklingen</t>
  </si>
  <si>
    <t>Vivantes Klinikum im Friedrichshain</t>
  </si>
  <si>
    <t>Prostatakrebszentrum Sana Klinikum Offenbach</t>
  </si>
  <si>
    <t>Sana Klinikum Offenbach</t>
  </si>
  <si>
    <t>Alfried Krupp Prostatakrebszentrum Essen</t>
  </si>
  <si>
    <t>Alfried-Krupp-Krankenhaus Essen</t>
  </si>
  <si>
    <t>Prostatakrebszentrum Krankenhaus Barmherzige Brüder München</t>
  </si>
  <si>
    <t>Krankenhaus Barmherzige Brüder München</t>
  </si>
  <si>
    <t>Prostatakrebszentrum am Helios Klinikum Aue</t>
  </si>
  <si>
    <t>Helios Klinikum Aue</t>
  </si>
  <si>
    <t xml:space="preserve">Filtername EMAC: "Liste Reg.Nr DS" </t>
  </si>
  <si>
    <t>&lt; 0,1%</t>
  </si>
  <si>
    <t>Pat., die in der Urologie bzw. Strahlentherapie vorstellig (z.B. über Einweisung) und als Primärfall gemäß EB 1.2.1 diagnostiziert sind (ohne primär M1, ohne Zufallsbefund nach RZE)</t>
  </si>
  <si>
    <t>Einschluss von möglichst vielen Pat. in Studien</t>
  </si>
  <si>
    <t xml:space="preserve">Operationen bei Primärfällen mit (y)pT2 c/pN0 oder Nx M0 </t>
  </si>
  <si>
    <t>Erfassung der R1 Resektionen bei (y)pT2 c/pN0 oder Nx M0</t>
  </si>
  <si>
    <t>Max. 15% Rate an R1 bei (y)pT2 c/pN0 oder Nx M0</t>
  </si>
  <si>
    <t>≤ 3,5%</t>
  </si>
  <si>
    <t>Universitätsklinikum Carl Gustav Carus Dresden</t>
  </si>
  <si>
    <t>Prostatakarzinomzentrum Ortenau</t>
  </si>
  <si>
    <t>Klinikum am Gesundbrunnen / SLK-Kliniken Heilbronn</t>
  </si>
  <si>
    <t>CCC Tübingen-Stuttgart am Universitätsklinikum Tübingen</t>
  </si>
  <si>
    <t>Prostatakarzinomzentrum Oldenburg</t>
  </si>
  <si>
    <t>Prostatakarzinomzentrum am LMU Klinikum</t>
  </si>
  <si>
    <t>LMU Klinikum</t>
  </si>
  <si>
    <t>Prostatakrebszentrum im CIO Aachen</t>
  </si>
  <si>
    <t>Centrum für Integrierte Onkologie Aachen Bonn Köln Düsseldorf in der Uniklinik RWTH Aachen</t>
  </si>
  <si>
    <t>ProstatakrebsZentrum Proselis</t>
  </si>
  <si>
    <t>Prostatakrebszentrum Aschaffenburg</t>
  </si>
  <si>
    <t>Prostatakrebszentrum der Universitätsmedizin Magdeburg</t>
  </si>
  <si>
    <t>Universitätsklinik Magdeburg</t>
  </si>
  <si>
    <t>Prostatakrebszentrum im CIO Bonn</t>
  </si>
  <si>
    <t>Centrum für Integrierte Onkologie Aachen Bonn Köln Düsseldorf im Universitätsklinikum Bonn</t>
  </si>
  <si>
    <t xml:space="preserve">Prostatakrebszentrum München Klinik Bogenhausen </t>
  </si>
  <si>
    <t>München Klinik Bogenhausen</t>
  </si>
  <si>
    <t>Prostatakrebszentrum am UKSH, Campus Lübeck</t>
  </si>
  <si>
    <t>Universitätsklinikum Schleswig-Holstein, Campus Lübeck</t>
  </si>
  <si>
    <t>Prostatakrebszentrum Augusta Bochum</t>
  </si>
  <si>
    <t>Augusta-Kranken-Anstalt Bochum</t>
  </si>
  <si>
    <t>Centro Tumore della Prostata della Svizzera Italiana, Bellinzona</t>
  </si>
  <si>
    <t>Ospedale Regionale di Bellinzona e Valli</t>
  </si>
  <si>
    <t>Prostatakrebszentrum Städtische Kliniken Mönchengladbach</t>
  </si>
  <si>
    <t>Städtische Kliniken Mönchengladbach</t>
  </si>
  <si>
    <t>Prostatakrebszentrum Wiesbaden</t>
  </si>
  <si>
    <t>Helios Dr. Horst Schmidt Kliniken Wiesbaden</t>
  </si>
  <si>
    <t>Prostatakrebszentrum Köln-Hohenlind</t>
  </si>
  <si>
    <t>St. Elisabeth-Krankenhaus Köln-Hohenlind</t>
  </si>
  <si>
    <t>Klinikum Ibbenbüren</t>
  </si>
  <si>
    <t>Prostatakrebszentrum Klinikum Leverkusen</t>
  </si>
  <si>
    <t>Klinikum Leverkusen</t>
  </si>
  <si>
    <t>Hirslanden Prostatakrebszentrum Bern</t>
  </si>
  <si>
    <t>Hirslanden Salem-Spital Bern</t>
  </si>
  <si>
    <t>Marien-Krankenhaus Bergisch Gladbach</t>
  </si>
  <si>
    <t>Primärfälle des Nenners mit  unerwünschten Wirkungen CTCAE Grade III oder IV innerhalb der ersten 6 Monate nach Strahlentherapie</t>
  </si>
  <si>
    <t>Zahnärztliche Untersuchung 
vor Beginn der Bisphosphonat oder Denosumab-Therapie</t>
  </si>
  <si>
    <r>
      <t xml:space="preserve">DFS (Disease Free Survival) absolut </t>
    </r>
    <r>
      <rPr>
        <vertAlign val="superscript"/>
        <sz val="9"/>
        <rFont val="Arial"/>
        <family val="2"/>
      </rPr>
      <t>2)</t>
    </r>
  </si>
  <si>
    <t>Vorstellung in der wöchentlichen Tumorkonferenz</t>
  </si>
  <si>
    <t>Psychoonkologisches Distress-Screening</t>
  </si>
  <si>
    <t xml:space="preserve">Pat. des Nenners, die psychoonkologisch gescreent wurden </t>
  </si>
  <si>
    <t>≥ 65%</t>
  </si>
  <si>
    <t>Operative Expertise</t>
  </si>
  <si>
    <t xml:space="preserve">  Zentrum</t>
  </si>
  <si>
    <t>geringe Follow-Up-Quote der Jahre 2019-2021</t>
  </si>
  <si>
    <t>zu hohe Follow-Up-Quote der Jahre 2019-2021</t>
  </si>
  <si>
    <t>Welche Daten erhalten Sie vom Krebsregister (§65c)?</t>
  </si>
  <si>
    <t>Keine Auswahl zutreffend</t>
  </si>
  <si>
    <t>Prostatakrebszentrum Dortmund-Ost</t>
  </si>
  <si>
    <t>Prostatakarzinomzentrum am Städtischen Klinikum Dessau</t>
  </si>
  <si>
    <t>Städtisches Klinikum Dessau, Standort Auenweg</t>
  </si>
  <si>
    <t>Uniklinikum Erlangen</t>
  </si>
  <si>
    <t>Klinikum Lippe, Standort Detmold</t>
  </si>
  <si>
    <t>KEM | Evang. Kliniken Essen-Mitte, Standort Evang. Huyssens-Stiftung Essen-Huttrop</t>
  </si>
  <si>
    <t>Lukas Prostatakrebszentrum Dortmund Süd</t>
  </si>
  <si>
    <t>SLG St. Paulus GmbH, St. Josefs Hospital Dortmund</t>
  </si>
  <si>
    <t>Prostatakrebszentrum Rems-Murr-Klinikum Winnenden</t>
  </si>
  <si>
    <t>Rems-Murr-Klinikum Winnenden</t>
  </si>
  <si>
    <t>Prostatakrebszentrum Lindenhof Bern</t>
  </si>
  <si>
    <t>Prostatakarzinomzentrum Ravensburg</t>
  </si>
  <si>
    <t>Vivantes Prostatakarzinomzentrum Berlin Klinikum am Urban / Klinikum im Friedrichshain</t>
  </si>
  <si>
    <t xml:space="preserve">Prostatakrebszentrum Spitalzentrum Biel </t>
  </si>
  <si>
    <t xml:space="preserve">Spitalzentrum Biel </t>
  </si>
  <si>
    <t>Prostatakrebszentrum Klinikum Ibbenbüren</t>
  </si>
  <si>
    <t>Prostatakrebszentrum Thurgau am Standort Münsterlingen</t>
  </si>
  <si>
    <t xml:space="preserve">Kantonsspital Münsterlingen </t>
  </si>
  <si>
    <t>Prostatakrebszentrum der ALB FILS KLINIKEN</t>
  </si>
  <si>
    <t>Prostatakrebszentrum der GFO Kliniken Rhein-Berg am Marien-Krankenhaus Bergisch Gladbach</t>
  </si>
  <si>
    <t>Prostatakrebszentrum Karlsruhe</t>
  </si>
  <si>
    <t>Städtisches Klinikum Karlsruhe</t>
  </si>
  <si>
    <t xml:space="preserve">Prostatakrebszentrum Triemli </t>
  </si>
  <si>
    <t xml:space="preserve">Stadtspital Zürich Triemli </t>
  </si>
  <si>
    <t>Prostatakrebszentrum Klinikum Darmstadt</t>
  </si>
  <si>
    <t>Klinikum Darmstadt</t>
  </si>
  <si>
    <t>Prostatakrebszentrum Westthüringen St. Georg Klinikum Eisenach</t>
  </si>
  <si>
    <t>St. Georg Klinikum Eisenach</t>
  </si>
  <si>
    <t>Prostatakrebszentrum Suhl</t>
  </si>
  <si>
    <t>SRH Zentralklinikum Suhl</t>
  </si>
  <si>
    <t>Prostatakrebszentrum Klinikum Garmisch-Partenkirchen</t>
  </si>
  <si>
    <t>Klinikum Garmisch-Partenkirchen</t>
  </si>
  <si>
    <t>Prostatakarzinomzentrum Bocholt</t>
  </si>
  <si>
    <t>St. Agnes-Hospital Bocholt Klinikum Westmünsterland</t>
  </si>
  <si>
    <t>Keine Daten für Berechnung von Kennzahlen und kein Follow-up/ Matrix</t>
  </si>
  <si>
    <t>Keine Daten für Berechnung von Kennzahlen, aber vollständiges Follow-up/ Matrix</t>
  </si>
  <si>
    <t>Daten für Berechnung von Kennzahlen und teilweise Follow-up/ Matrix (z.B. nur Vitalstatus)</t>
  </si>
  <si>
    <t>Daten für Berechnung von Kennzahlen und vollständiges Follow-up/ Matrix</t>
  </si>
  <si>
    <t>Keine Daten für Berechnung von Kennzahlen, aber teilweise Follow-up/ Matrix
(z.B. nur Vitalstatus)</t>
  </si>
  <si>
    <t>Daten vom Krebsregister</t>
  </si>
  <si>
    <t>RPE/RZE bei Primärfällen mit lokal begrenztem PCa u. niedrigem Risiko</t>
  </si>
  <si>
    <t xml:space="preserve">Darstellung des Anteils operierter Primärfälle mit lokal begrenztem PCa u. niedrigem Risiko an der Gesamtzahl der RPEs/RZEs </t>
  </si>
  <si>
    <t>Primärfälle des Nenners mit lokal begrenztem PCa u. niedrigem Risiko</t>
  </si>
  <si>
    <t>Primärfälle mit RPE + RZE</t>
  </si>
  <si>
    <t>Primärfälle mit lokal begrenztem PCa u. niedrigem Risiko und RPE/RZE</t>
  </si>
  <si>
    <t>Primärfälle mit lokal begrenztem PCa u. niedrigem Risiko</t>
  </si>
  <si>
    <t>Auditjahr 2025 / Kennzahlenjahr 2024</t>
  </si>
  <si>
    <t>IK-Nummer</t>
  </si>
  <si>
    <t>Standort-Nummer</t>
  </si>
  <si>
    <t xml:space="preserve">Grundlage des Erhebungsbogens stellt die TNM – Klassifikation maligner Tumoren, 8. Auflage 2017 sowie die ICD-Klassifikation ICD-10-GM 2024 (DIMDI) und die OPS-Klassifikation OPS 2024 (DIMDI) dar.
</t>
  </si>
  <si>
    <t>1) Pat. kann in einem Kalenderjahr unter "a) Primäfall" nur einmalig gezählt werden; unter "b) Rezidive und/ oder Fernmetastasen" kann ein Pat. in Zeile 45 UND Zeile 46 jeweils 1x gezählt werden; wenn bei Primärfallpat. in dem Kalenderjahr auch die Diagnose "Rezidiv und/ oder Fernmetastasen" auftritt, dann wird der Pat. unter a) und b) gezählt. Die Definitionen für Zentrumspat. und Primärfall sind im EB unter 1.2.1 hinterlegt. Zählzeitpunkt ist Zeitpunkt der (Erst-)Vorstellung im Zentrum.</t>
  </si>
  <si>
    <t>6) Einteilung der Primärfälle muss auf Grundlage des klinischen Tumorstatus erfolgen. 
    Risikoklassifizierung: Niedriges Risiko: PSA ≤ 10 ng/ml u. Gleason-Score ≤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</si>
  <si>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</si>
  <si>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r>
      <t xml:space="preserve">b) Pat. mit neuaufgetretenem Rezidiv und/ oder Fernmetastasen im Kalenderjahr </t>
    </r>
    <r>
      <rPr>
        <vertAlign val="superscript"/>
        <sz val="11"/>
        <color theme="1"/>
        <rFont val="Arial"/>
        <family val="2"/>
      </rPr>
      <t>1)</t>
    </r>
  </si>
  <si>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</si>
  <si>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</si>
  <si>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</si>
  <si>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</si>
  <si>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</si>
  <si>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</si>
  <si>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</si>
  <si>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</si>
  <si>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t>Tabelle Operateure (Qualifikation gemäß EB 5.2.8)</t>
  </si>
  <si>
    <t>Titel, Name, Vorname</t>
  </si>
  <si>
    <t>Status Operateur</t>
  </si>
  <si>
    <t>Standort/ Klinikum</t>
  </si>
  <si>
    <t>Zeitraum
von  …  bis im Kennzahlenjahr</t>
  </si>
  <si>
    <t>Begründung/ Ursache</t>
  </si>
  <si>
    <t>benannter Operateur</t>
  </si>
  <si>
    <t>nicht benannter Operateur</t>
  </si>
  <si>
    <r>
      <rPr>
        <u/>
        <sz val="8"/>
        <color theme="1"/>
        <rFont val="Arial"/>
        <family val="2"/>
      </rPr>
      <t>Bearbeitungshinweis</t>
    </r>
    <r>
      <rPr>
        <sz val="8"/>
        <color theme="1"/>
        <rFont val="Arial"/>
        <family val="2"/>
      </rPr>
      <t>: Studienpat. können für 2 Zentren gezählt werden, sofern das entsendende Zentrum selbst mindestens eine Studie für Pat. des Prostatakrebszentrums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</si>
  <si>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5 Jahre 
2020 - 2024</t>
  </si>
  <si>
    <t>Bearbeitung nur, wenn in 2024 Anzahl Prostatektomien &lt; 25</t>
  </si>
  <si>
    <t>Summe:</t>
  </si>
  <si>
    <t>Primärfälle mit lokal begrenztem PCa u. hohem Risiko (PSA &gt; 
20 ng/ml o. Gleason-Score ≥ 8 o. cT 2c)</t>
  </si>
  <si>
    <t>Pat. mit neuaufgetretenem Rezidiv und/ oder 
Fernmetastasen</t>
  </si>
  <si>
    <t>Primärfälle ≥ pT3a und/ oder R1 und/ oder pN+</t>
  </si>
  <si>
    <t>Pat. mit neuaufgetretenem Rezidiv und/ oder Fernmetastasen 
(= Kennzahl 1c)</t>
  </si>
  <si>
    <t>Primärfälle mit lokal begrenztem PCa und niedrigem Risiko (PSA ≤ 10 ng/ml und Gleason-Score ≤ 6 und cT-Kategorie ≤ 2a)</t>
  </si>
  <si>
    <t>Primärfälle mit lokal begrenztem  PCa u. mittlerem Risiko (PSA &gt; 
10-20 ng/ml o. Gleason-Score 7 o. cT 2b)</t>
  </si>
  <si>
    <t>Pat. mit neuaufgetretenem Rezidiv und/ oder Fernmetastasen</t>
  </si>
  <si>
    <t>Pat. des Nenners, die in der Tumorkonferenz vorgestellt wurden (postoperativ: operierte Primärfälle und präth.: primär M1, Rezidiv/ Fernmetastasen)</t>
  </si>
  <si>
    <t>Primärfälle des Nenners mit zusätzlicher neo- und/ oder adjuvanter hormonablativer Therapie</t>
  </si>
  <si>
    <t>Adäquate Rate an psychoonko-logischem Distress-Screening</t>
  </si>
  <si>
    <t xml:space="preserve">6
</t>
  </si>
  <si>
    <t>Primärfälle (= Kennzahl 1a) + Pat. mit neuaufgetretenem Rezidiv und/ oder Fernmetastasen 
(= Kennzahl 1c)</t>
  </si>
  <si>
    <t xml:space="preserve">Radikale Prostatektomien/ Zystoprostatektomien gesamt  (siehe Basisdaten) </t>
  </si>
  <si>
    <t>Vorstellung möglichst vieler Pat. 
in der präth. Konferenz 
(über Urologie)</t>
  </si>
  <si>
    <t>Vorstellung möglichst vieler Pat. 
in der präth. Konferenz 
(über Strahlentherapie)</t>
  </si>
  <si>
    <t>Vorstellung möglichst vieler Pat. 
in der Tumorkonferenz</t>
  </si>
  <si>
    <t>Primärfälle mit PCa T1-2 N0 M0 mit hohem Risiko (PSA &gt; 20 ng/ml o. Gleason-Score ≥ 8 o.cT-Kategorie 2c) und perkutaner Strahlen-therapie</t>
  </si>
  <si>
    <t>Primärfälle des Nenners mit 
HDR-Brachytherapie</t>
  </si>
  <si>
    <t>Primärfälle des Nenners mit Befundbericht mit Angabe von:
- Lokalisation und Anzahl Karzinom-positiver Gewebe-proben im Verhältnis zu den entnommenen Stanzen
- Semiquantitative Abschätzung  der Tumorausdehnung pro Stanze (in Prozent und/ oder mm) 
- Gleason-Score gemäß ISUP 2014 und WHO 2016</t>
  </si>
  <si>
    <t xml:space="preserve">Pat. des Nenners mit Beginn der SRT bei PSA &lt; 0,5 ng/ml </t>
  </si>
  <si>
    <t>Primärfälle des Nenners mit Komplikation Clavien-Dindo 
Grade III oder IV innerhalb der ersten 6 Monate nach RPE</t>
  </si>
  <si>
    <t>Primärfälle mit definitiver Strahlen-therapie (aus Vorkennzahlenjahr)</t>
  </si>
  <si>
    <t>Keine adjuvante hormonablative Therapie bei lokal fortgeschritte-nem Prostatakarzinom und radikaler Prostatektomie (RPE)</t>
  </si>
  <si>
    <t>Keine fokale Therapie bei lokal fortgeschrittenem Pca</t>
  </si>
  <si>
    <t>Primärfälle mit lokal fortgeschrittenem Pca</t>
  </si>
  <si>
    <t>Anteil lokal begrenztes PCa u. niedriges Risiko bei RPE/RZE</t>
  </si>
  <si>
    <t>Darstellung des Anteils RPE/RZE bei Primärfällen mit lokal begrenztem PCa u. niedrigem Risiko</t>
  </si>
  <si>
    <t>Die jeweilige Eingabe oder Änderung  "Anzahl/ Zähler/ Nenner" (gepunktete Felder) ist nur im Tabellenblatt "Basisdaten" möglich, die Übertragung erfolgt automatisch.
Der Zähler ist immer eine Teilmenge des Nenners (Ausnahme: Kennzahl 8 - Studienpat.)</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</si>
  <si>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</si>
  <si>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 xml:space="preserve">        Ø Follow-Up Quote der Jahre 2020-2022</t>
  </si>
  <si>
    <r>
      <rPr>
        <vertAlign val="superscript"/>
        <sz val="8"/>
        <rFont val="Arial"/>
        <family val="2"/>
      </rPr>
      <t xml:space="preserve">1)  </t>
    </r>
    <r>
      <rPr>
        <sz val="8"/>
        <rFont val="Arial"/>
        <family val="2"/>
      </rPr>
      <t>Die Daten müssen pat.bezogen rückverfolgbar sein. Ausgelöst durch die Follow-Up-Strukturen der Krebsregister (Latenzzeit Vollzähligkeit der Registrierung von Zielereignissen) werden Follow-Up-Daten aus dem vorletzten Kalenderjahr vor dem Auditjahr betrachtet (Auditjahr 2025 =&gt; Follow-Up Daten aus dem Zeitraum 01.01.2023-31.12.2023).</t>
    </r>
  </si>
  <si>
    <r>
      <t xml:space="preserve">2)  </t>
    </r>
    <r>
      <rPr>
        <sz val="8"/>
        <rFont val="Arial"/>
        <family val="2"/>
      </rPr>
      <t xml:space="preserve">Wenn die Matrizen Ergebnisqualität von einem Krebsregister nach § 65c erstellt werden, gelten Patienten, für die am 31.12. des Vorkennzahlenjahres kein meldepflichtiges Ereignis vorliegt (Rezidiv (lokal/ Lymphknoten), Fernmetastasen, Zweitkarzinomen, Tod) in den jeweiligen Spalten der Matrizen Ergebnisqualität als „tumorfrei“ (= passives Follow-Up). Besonderheiten für den Umgang mit passivem Follow-Up im OncoBox-Organ sind in der OncoBox-Spezifikation Tabellenblatt „Matrix“ als FAQ zu finden.  </t>
    </r>
  </si>
  <si>
    <r>
      <rPr>
        <b/>
        <u/>
        <sz val="8"/>
        <color indexed="8"/>
        <rFont val="Arial"/>
        <family val="2"/>
      </rPr>
      <t xml:space="preserve">
Bearbeitungshinweise:
</t>
    </r>
    <r>
      <rPr>
        <sz val="8"/>
        <color indexed="8"/>
        <rFont val="Arial"/>
        <family val="2"/>
      </rPr>
      <t xml:space="preserve">Für Prostatakrebszentren ist die Matrix Ergebnisqualität verbindlich zu bearbeiten.
Für die Bewertung der Matrix Ergebnisqualität - DFS / OAS gelten folgende Regelungen:
            a) Alle Pat. ab dem Folgejahr der EZ sind im Follow-Up zu berücksichtigen; alle relevanten Nachsorgejahre sind zu bearbeiten, abhängig vom Datum der Erstzertifizierung.
            b) Nachsorgejahr "relevant" (B) =&gt; Sämtliche „hellgrau“ hinterlegte Felder sind vollständig zu bearbeiten; dies gilt auch für Nullwerte (= 0).
            c) Bei den „hellrot“ hinterlegten Feldern liegt eine Falscheingabe vor, diese sind zu korrigieren.
            d) Zahlen müssen manuell eingegeben werden, diese dürfen nicht kopiert werden.
            e) „Hellgrün“ hinterlegte Felder weisen auf Unplausibilitäten hin. Diese Werte sind zu analysieren und das Ergebnis ist auf dem Folgeblatt „Datendefizite_Matrix“ darzulegen.
</t>
    </r>
    <r>
      <rPr>
        <u/>
        <sz val="8"/>
        <color indexed="8"/>
        <rFont val="Arial"/>
        <family val="2"/>
      </rPr>
      <t xml:space="preserve">
</t>
    </r>
    <r>
      <rPr>
        <b/>
        <u/>
        <sz val="8"/>
        <color indexed="8"/>
        <rFont val="Arial"/>
        <family val="2"/>
      </rPr>
      <t xml:space="preserve">Anmerkungen:
</t>
    </r>
    <r>
      <rPr>
        <sz val="8"/>
        <color indexed="8"/>
        <rFont val="Arial"/>
        <family val="2"/>
      </rPr>
      <t>In dieser Excel-Vorlage sind die nachfolgend skizzierten Plausibilitätsabfragen hinterlegt.
Ein Anspruch auf Vollständigkeit besteht nicht.
Von Seiten des Fachexperten können weitere Unplausibilitäten bzw. Inkorrektheiten identifiziert und im Rahmen des Auditergebnisses dargestellt werden.</t>
    </r>
  </si>
  <si>
    <t>Follow-Up Quote der Jahre 2020-2022</t>
  </si>
  <si>
    <t>Follow-Up Quote der Jahre 2020-2022 (positive Unplausibilität)</t>
  </si>
  <si>
    <t>2020-2022</t>
  </si>
  <si>
    <t>in Ausbildung</t>
  </si>
  <si>
    <t>Eingeleitete/ geplante Aktionen</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</si>
  <si>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</si>
  <si>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</si>
  <si>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</si>
  <si>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</si>
  <si>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</si>
  <si>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</si>
  <si>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</si>
  <si>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</si>
  <si>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</si>
  <si>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Primärfälle (= Kennzahl 1a) und Pat. mit neuaufgetretenem Rezidiv und/ oder Fernmetastasen 
(= Kennzahl 1c)</t>
  </si>
  <si>
    <t>Prostatakarzinomzentrum Rheinpfalz am Klinikum der Stadt Ludwigshafen</t>
  </si>
  <si>
    <t>Prostatakarzinomzentrum Neumarkt</t>
  </si>
  <si>
    <t>Klinikum Neumarkt</t>
  </si>
  <si>
    <t>Prostatakrebs Centrum Gronau</t>
  </si>
  <si>
    <t>Prostatakarzinomzentrum der Universitätsmedizin Rostock</t>
  </si>
  <si>
    <t>Prostatakarzinomzentrum im Universitären Centrum fürTumorerkrankungen (UCT) Frankfurt</t>
  </si>
  <si>
    <t>Cellitinnen-Krankenhaus Heilig Geist</t>
  </si>
  <si>
    <t>Prostatakrebszentrum am Universitätsklinikum Gießen</t>
  </si>
  <si>
    <t>Universitätsklinikum Giessen und Marburg, Standort Gießen</t>
  </si>
  <si>
    <t>ALB FILS KLINIKUM Göppingen</t>
  </si>
  <si>
    <t>Prostatakrebszentrum am Universitätsklinikum Heidelberg / NCT</t>
  </si>
  <si>
    <t>Universitätsklinikum Heidelberg</t>
  </si>
  <si>
    <t>Prostatakrebszentrum St. Elisabeth-Krankenhaus Leipzig</t>
  </si>
  <si>
    <t>St. Elisabeth-Krankenhaus Leipzig</t>
  </si>
  <si>
    <t>Universitäres Prostatakrebszentrum Saarland</t>
  </si>
  <si>
    <t>Universitätsklinikum des Saarlandes</t>
  </si>
  <si>
    <t>Prostatakrebszentrum Agaplesion Markus Krankenhaus Frankfurt</t>
  </si>
  <si>
    <t>Agaplesion Markus Krankenhaus Frankfurt</t>
  </si>
  <si>
    <t>Prostatakrebszentrum Marien-Hospital Wesel</t>
  </si>
  <si>
    <t>Marien-Hospital Wesel</t>
  </si>
  <si>
    <t>Prostatakrebszentrum Wels</t>
  </si>
  <si>
    <t>Klinikum Wels-Grieskirchen GmbH</t>
  </si>
  <si>
    <t>Prostatakarzinomzentrum Schweinfurt</t>
  </si>
  <si>
    <t>Leopoldina-Krankenhaus der Stadt Schweinfurt</t>
  </si>
  <si>
    <t>Prostatakrebszentrum München-Planegg</t>
  </si>
  <si>
    <t>Urologische Klinik München-Planegg</t>
  </si>
  <si>
    <t>Prostatakrebszentrum Diakonie Klinikum Siegen</t>
  </si>
  <si>
    <t>Diakonie Klinikum Siegen</t>
  </si>
  <si>
    <t>OncoAssist Tumordokumentation</t>
  </si>
  <si>
    <t>Stand: 29.10.2024</t>
  </si>
  <si>
    <t>FAP-Z-002-U</t>
  </si>
  <si>
    <t>FAP-Z-004</t>
  </si>
  <si>
    <t>FAP-Z-005-U</t>
  </si>
  <si>
    <t>FAP-Z-007-U</t>
  </si>
  <si>
    <t>FAP-Z-008</t>
  </si>
  <si>
    <t>FAP-Z-009-U</t>
  </si>
  <si>
    <t>FAP-Z-010-U</t>
  </si>
  <si>
    <t>FAP-Z-011-U</t>
  </si>
  <si>
    <t>FAP-Z-012</t>
  </si>
  <si>
    <t>FAP-Z-013-U</t>
  </si>
  <si>
    <t>FAP-Z-014</t>
  </si>
  <si>
    <t>FAP-Z-015-U</t>
  </si>
  <si>
    <t>FAP-Z-017-1-U</t>
  </si>
  <si>
    <t>FAP-Z-017-2-U</t>
  </si>
  <si>
    <t>FAP-Z-018</t>
  </si>
  <si>
    <t>FAP-Z-019</t>
  </si>
  <si>
    <t>FAP-Z-021</t>
  </si>
  <si>
    <t>FAP-Z-022-U</t>
  </si>
  <si>
    <t>FAP-Z-023-U</t>
  </si>
  <si>
    <t>FAP-Z-024-U</t>
  </si>
  <si>
    <t>FAP-Z-025</t>
  </si>
  <si>
    <t>FAP-Z-026-U</t>
  </si>
  <si>
    <t>FAP-Z-027-U</t>
  </si>
  <si>
    <t>FAP-Z-028</t>
  </si>
  <si>
    <t>FAP-Z-029</t>
  </si>
  <si>
    <t>FAP-Z-030</t>
  </si>
  <si>
    <t>FAP-Z-031-U</t>
  </si>
  <si>
    <t>FAP-Z-032</t>
  </si>
  <si>
    <t>FAP-Z-033-U</t>
  </si>
  <si>
    <t>FAP-Z-034</t>
  </si>
  <si>
    <t>FAP-Z-035</t>
  </si>
  <si>
    <t>FAP-Z-036-U</t>
  </si>
  <si>
    <t>FAP-Z-038-U</t>
  </si>
  <si>
    <t>FAP-Z-039</t>
  </si>
  <si>
    <t>FAP-Z-040-U</t>
  </si>
  <si>
    <t>FAP-Z-041-U</t>
  </si>
  <si>
    <t>FAP-Z-042</t>
  </si>
  <si>
    <t>FAP-Z-043-U</t>
  </si>
  <si>
    <t>FAP-Z-044</t>
  </si>
  <si>
    <t>FAP-Z-045</t>
  </si>
  <si>
    <t>FAP-Z-046-U</t>
  </si>
  <si>
    <t>FAP-Z-047-U</t>
  </si>
  <si>
    <t>FAP-Z-048</t>
  </si>
  <si>
    <t>FAP-Z-049-U</t>
  </si>
  <si>
    <t>FAP-Z-050</t>
  </si>
  <si>
    <t>FAP-Z-051-U</t>
  </si>
  <si>
    <t>FAP-Z-053</t>
  </si>
  <si>
    <t>FAP-Z-054-U</t>
  </si>
  <si>
    <t>FAP-Z-055-U</t>
  </si>
  <si>
    <t>FAP-Z-057</t>
  </si>
  <si>
    <t>FAP-Z-061-U</t>
  </si>
  <si>
    <t>FAP-Z-062</t>
  </si>
  <si>
    <t>FAP-Z-066-U</t>
  </si>
  <si>
    <t>FAP-Z-067</t>
  </si>
  <si>
    <t>FAP-Z-068</t>
  </si>
  <si>
    <t>FAP-Z-069</t>
  </si>
  <si>
    <t>FAP-Z-070-U</t>
  </si>
  <si>
    <t>FAP-Z-072-U</t>
  </si>
  <si>
    <t>FAP-Z-073-U</t>
  </si>
  <si>
    <t>FAP-Z-074-U</t>
  </si>
  <si>
    <t>FAP-Z-075</t>
  </si>
  <si>
    <t>FAP-Z-079-U</t>
  </si>
  <si>
    <t>FAP-Z-081</t>
  </si>
  <si>
    <t>FAP-Z-082-U</t>
  </si>
  <si>
    <t>FAP-Z-083-U</t>
  </si>
  <si>
    <t>FAP-Z-084</t>
  </si>
  <si>
    <t>FAP-Z-087-U</t>
  </si>
  <si>
    <t>FAP-Z-088</t>
  </si>
  <si>
    <t>FAP-Z-089</t>
  </si>
  <si>
    <t>FAP-Z-090-U</t>
  </si>
  <si>
    <t>FAP-Z-091-U</t>
  </si>
  <si>
    <t>FAP-Z-092</t>
  </si>
  <si>
    <t>FAP-Z-093-U</t>
  </si>
  <si>
    <t>FAP-Z-094</t>
  </si>
  <si>
    <t>FAP-Z-095-U</t>
  </si>
  <si>
    <t>FAP-Z-096</t>
  </si>
  <si>
    <t>FAP-Z-097-U</t>
  </si>
  <si>
    <t>FAP-Z-100</t>
  </si>
  <si>
    <t>FAP-Z-101-U</t>
  </si>
  <si>
    <t>FAP-Z-102-U</t>
  </si>
  <si>
    <t>FAP-Z-103</t>
  </si>
  <si>
    <t>FAP-Z-104</t>
  </si>
  <si>
    <t>FAP-Z-105</t>
  </si>
  <si>
    <t>FAP-Z-106-U</t>
  </si>
  <si>
    <t>FAP-Z-108</t>
  </si>
  <si>
    <t>FAP-Z-109</t>
  </si>
  <si>
    <t>FAP-Z-110-U</t>
  </si>
  <si>
    <t>FAP-Z-111</t>
  </si>
  <si>
    <t>Centre du Cancer de la Prostate des Hôpitaux Universitaires de Genčve</t>
  </si>
  <si>
    <t>FAP-Z-112</t>
  </si>
  <si>
    <t>FAP-Z-113-U</t>
  </si>
  <si>
    <t>FAP-Z-114</t>
  </si>
  <si>
    <t>FAP-Z-116-U</t>
  </si>
  <si>
    <t>FAP-Z-117</t>
  </si>
  <si>
    <t>FAP-Z-118-U</t>
  </si>
  <si>
    <t>FAP-Z-119-U</t>
  </si>
  <si>
    <t>FAP-Z-120-U</t>
  </si>
  <si>
    <t>FAP-Z-121-U</t>
  </si>
  <si>
    <t>FAP-Z-122</t>
  </si>
  <si>
    <t>FAP-Z-123-U</t>
  </si>
  <si>
    <t>FAP-Z-124</t>
  </si>
  <si>
    <t>FAP-Z-125-U</t>
  </si>
  <si>
    <t>FAP-Z-126-U</t>
  </si>
  <si>
    <t>FAP-Z-127-U</t>
  </si>
  <si>
    <t>FAP-Z-128</t>
  </si>
  <si>
    <t>FAP-Z-129-U</t>
  </si>
  <si>
    <t>FAP-Z-130</t>
  </si>
  <si>
    <t>FAP-Z-131</t>
  </si>
  <si>
    <t>FAP-Z-132</t>
  </si>
  <si>
    <t>FAP-Z-133-U</t>
  </si>
  <si>
    <t>FAP-Z-134-U</t>
  </si>
  <si>
    <t>FAP-Z-135</t>
  </si>
  <si>
    <t>FAP-Z-137</t>
  </si>
  <si>
    <t>FAP-Z-138</t>
  </si>
  <si>
    <t>FAP-Z-139-U</t>
  </si>
  <si>
    <t>FAP-Z-140-U</t>
  </si>
  <si>
    <t>FAP-Z-141</t>
  </si>
  <si>
    <t>FAP-Z-142-U</t>
  </si>
  <si>
    <t>FAP-Z-143-U</t>
  </si>
  <si>
    <t>FAP-Z-144</t>
  </si>
  <si>
    <t>FAP-Z-145-U</t>
  </si>
  <si>
    <t>FAP-Z-146-U</t>
  </si>
  <si>
    <t>FAP-Z-147</t>
  </si>
  <si>
    <t>FAP-Z-148-U</t>
  </si>
  <si>
    <t>FAP-Z-149-U</t>
  </si>
  <si>
    <t>FAP-Z-150</t>
  </si>
  <si>
    <t>FAP-Z-151</t>
  </si>
  <si>
    <t>FAP-Z-152</t>
  </si>
  <si>
    <t>FAP-Z-153-U</t>
  </si>
  <si>
    <t>FAP-Z-155-U</t>
  </si>
  <si>
    <t>FAP-Z-157</t>
  </si>
  <si>
    <t>FAP-Z-158-U</t>
  </si>
  <si>
    <t>FAP-Z-159</t>
  </si>
  <si>
    <t>FAP-Z-160-U</t>
  </si>
  <si>
    <t>FAP-Z-161-U</t>
  </si>
  <si>
    <t>FAP-Z-162-U</t>
  </si>
  <si>
    <t>FAP-Z-163</t>
  </si>
  <si>
    <t>FAP-Z-165</t>
  </si>
  <si>
    <t>FAP-Z-166-U</t>
  </si>
  <si>
    <t>FAP-Z-167-1</t>
  </si>
  <si>
    <t>FAP-Z-167-2</t>
  </si>
  <si>
    <t>FAP-Z-168-U</t>
  </si>
  <si>
    <t>FAP-Z-169-U</t>
  </si>
  <si>
    <t>FAP-Z-171</t>
  </si>
  <si>
    <t>FAP-Z-172</t>
  </si>
  <si>
    <t>FAP-Z-173</t>
  </si>
  <si>
    <t>FAP-Z-175-U</t>
  </si>
  <si>
    <t>FAP-Z-176-U</t>
  </si>
  <si>
    <t>FAP-Z-177</t>
  </si>
  <si>
    <t>FAP-Z-179-U</t>
  </si>
  <si>
    <t>FAP-Z-181</t>
  </si>
  <si>
    <t>FAP-Z-182</t>
  </si>
  <si>
    <t>FAP-Z-184-U</t>
  </si>
  <si>
    <t>FAP-Z-185-U</t>
  </si>
  <si>
    <t>FAP-Z-186</t>
  </si>
  <si>
    <t>FAP-Z-187</t>
  </si>
  <si>
    <t>FAP-Z-188</t>
  </si>
  <si>
    <t>FAP-Z-189</t>
  </si>
  <si>
    <t>FAP-Z-190</t>
  </si>
  <si>
    <t>FAP-Z-193</t>
  </si>
  <si>
    <t>FAP-Z-194-U</t>
  </si>
  <si>
    <t>FAP-Z-195-U</t>
  </si>
  <si>
    <t>FAP-Z-196</t>
  </si>
  <si>
    <t>FAP-Z-197-U</t>
  </si>
  <si>
    <t>FAP-Z-198</t>
  </si>
  <si>
    <t>FAP-Z-199</t>
  </si>
  <si>
    <t>FAP-Z-200</t>
  </si>
  <si>
    <t>FAP-Z-203</t>
  </si>
  <si>
    <t>FAP-Z-204-U</t>
  </si>
  <si>
    <t>FAP-Z-205</t>
  </si>
  <si>
    <t>FAP-Z-207</t>
  </si>
  <si>
    <t>FAP-Z-209</t>
  </si>
  <si>
    <t>FAP-Z-210</t>
  </si>
  <si>
    <t>FAP-Z-212</t>
  </si>
  <si>
    <t>Aktualisierung: 06.11.2024</t>
  </si>
  <si>
    <t>Anlage EB Version P1.2 (Auditjahr 2025 / Kennzahlenjahr 2024)</t>
  </si>
  <si>
    <r>
      <rPr>
        <u/>
        <sz val="8"/>
        <rFont val="Arial"/>
        <family val="2"/>
      </rPr>
      <t>Bearbeitungshinweis:</t>
    </r>
    <r>
      <rPr>
        <sz val="8"/>
        <rFont val="Arial"/>
        <family val="2"/>
      </rPr>
      <t xml:space="preserve"> 
Sofern die Operateure keine Operationen im Betrachtungszeitraum durchgeführt haben, ist „0“ einzutragen.
Operationen, die durch einen Operateur mit dem Status in Ausbildung durchgeführt wurden, werden nicht in der Summe der Operationen in Zelle E25 angerechnet.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</si>
</sst>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
    <numFmt numFmtId="166" formatCode="0.0"/>
    <numFmt numFmtId="167" formatCode="0.000%"/>
  </numFmts>
  <fonts count="148" x14ac:knownFonts="1">
    <font>
      <sz val="11"/>
      <color theme="1"/>
      <name val="Calibri"/>
      <family val="2"/>
      <scheme val="minor"/>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9"/>
      <color indexed="8"/>
      <name val="Calibri"/>
      <family val="2"/>
    </font>
    <font>
      <sz val="11"/>
      <color indexed="23"/>
      <name val="Arial"/>
      <family val="2"/>
    </font>
    <font>
      <b/>
      <sz val="12"/>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8.8000000000000007"/>
      <color indexed="8"/>
      <name val="Arial"/>
      <family val="2"/>
    </font>
    <font>
      <b/>
      <sz val="9"/>
      <color indexed="8"/>
      <name val="Calibri"/>
      <family val="2"/>
    </font>
    <font>
      <sz val="11"/>
      <name val="Calibri"/>
      <family val="2"/>
    </font>
    <font>
      <b/>
      <u/>
      <sz val="8"/>
      <color indexed="8"/>
      <name val="Arial"/>
      <family val="2"/>
    </font>
    <font>
      <b/>
      <sz val="8.5"/>
      <color indexed="8"/>
      <name val="Arial"/>
      <family val="2"/>
    </font>
    <font>
      <sz val="6"/>
      <name val="Arial"/>
      <family val="2"/>
    </font>
    <font>
      <sz val="9"/>
      <color indexed="9"/>
      <name val="Arial"/>
      <family val="2"/>
    </font>
    <font>
      <b/>
      <sz val="16"/>
      <color indexed="8"/>
      <name val="Arial"/>
      <family val="2"/>
    </font>
    <font>
      <sz val="8"/>
      <color indexed="8"/>
      <name val="Arial Narrow"/>
      <family val="2"/>
    </font>
    <font>
      <sz val="8"/>
      <name val="Arial Narrow"/>
      <family val="2"/>
    </font>
    <font>
      <b/>
      <sz val="8"/>
      <color indexed="8"/>
      <name val="Arial Narrow"/>
      <family val="2"/>
    </font>
    <font>
      <u/>
      <sz val="8"/>
      <color indexed="8"/>
      <name val="Arial"/>
      <family val="2"/>
    </font>
    <font>
      <b/>
      <sz val="1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2"/>
      <name val="Calibri"/>
      <family val="2"/>
      <scheme val="minor"/>
    </font>
    <font>
      <b/>
      <sz val="13"/>
      <color theme="3"/>
      <name val="Calibri"/>
      <family val="2"/>
      <scheme val="minor"/>
    </font>
    <font>
      <b/>
      <sz val="13"/>
      <color indexed="62"/>
      <name val="Calibri"/>
      <family val="2"/>
      <scheme val="minor"/>
    </font>
    <font>
      <b/>
      <sz val="11"/>
      <color theme="3"/>
      <name val="Calibri"/>
      <family val="2"/>
      <scheme val="minor"/>
    </font>
    <font>
      <b/>
      <sz val="11"/>
      <color indexed="62"/>
      <name val="Calibri"/>
      <family val="2"/>
      <scheme val="minor"/>
    </font>
    <font>
      <u/>
      <sz val="11"/>
      <color theme="10"/>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b/>
      <sz val="18"/>
      <color indexed="62"/>
      <name val="Cambria"/>
      <family val="2"/>
      <scheme val="major"/>
    </font>
    <font>
      <sz val="11"/>
      <color rgb="FFFF0000"/>
      <name val="Calibri"/>
      <family val="2"/>
      <scheme val="minor"/>
    </font>
    <font>
      <sz val="11"/>
      <color indexed="53"/>
      <name val="Calibri"/>
      <family val="2"/>
      <scheme val="minor"/>
    </font>
    <font>
      <sz val="8"/>
      <color theme="1"/>
      <name val="Arial"/>
      <family val="2"/>
    </font>
    <font>
      <sz val="11"/>
      <color theme="1"/>
      <name val="Arial"/>
      <family val="2"/>
    </font>
    <font>
      <sz val="9"/>
      <color theme="1"/>
      <name val="Calibri"/>
      <family val="2"/>
      <scheme val="minor"/>
    </font>
    <font>
      <b/>
      <sz val="9"/>
      <color theme="1"/>
      <name val="Calibri"/>
      <family val="2"/>
      <scheme val="minor"/>
    </font>
    <font>
      <b/>
      <sz val="9"/>
      <color theme="1"/>
      <name val="Arial"/>
      <family val="2"/>
    </font>
    <font>
      <sz val="10"/>
      <color theme="1"/>
      <name val="Arial"/>
      <family val="2"/>
    </font>
    <font>
      <b/>
      <sz val="8"/>
      <color theme="1"/>
      <name val="Arial"/>
      <family val="2"/>
    </font>
    <font>
      <sz val="9"/>
      <color theme="1"/>
      <name val="Arial"/>
      <family val="2"/>
    </font>
    <font>
      <b/>
      <sz val="10"/>
      <color theme="1"/>
      <name val="Arial"/>
      <family val="2"/>
    </font>
    <font>
      <b/>
      <sz val="11"/>
      <color theme="1"/>
      <name val="Arial"/>
      <family val="2"/>
    </font>
    <font>
      <sz val="10"/>
      <color theme="1"/>
      <name val="Calibri"/>
      <family val="2"/>
      <scheme val="minor"/>
    </font>
    <font>
      <sz val="8"/>
      <color theme="1"/>
      <name val="Arial Narrow"/>
      <family val="2"/>
    </font>
    <font>
      <sz val="11"/>
      <name val="Calibri"/>
      <family val="2"/>
      <scheme val="minor"/>
    </font>
    <font>
      <b/>
      <sz val="8"/>
      <color theme="1"/>
      <name val="Arial Narrow"/>
      <family val="2"/>
    </font>
    <font>
      <sz val="7"/>
      <name val="Arial"/>
      <family val="2"/>
    </font>
    <font>
      <vertAlign val="superscript"/>
      <sz val="9"/>
      <name val="Arial"/>
      <family val="2"/>
    </font>
    <font>
      <sz val="7"/>
      <color theme="1"/>
      <name val="Arial"/>
      <family val="2"/>
    </font>
    <font>
      <vertAlign val="superscript"/>
      <sz val="8"/>
      <name val="Arial"/>
      <family val="2"/>
    </font>
    <font>
      <sz val="9"/>
      <color rgb="FFFF0000"/>
      <name val="Arial"/>
      <family val="2"/>
    </font>
    <font>
      <strike/>
      <sz val="8"/>
      <name val="Arial Narrow"/>
      <family val="2"/>
    </font>
    <font>
      <strike/>
      <sz val="8"/>
      <color rgb="FFFF0000"/>
      <name val="Arial Narrow"/>
      <family val="2"/>
    </font>
    <font>
      <b/>
      <sz val="13"/>
      <name val="Arial"/>
      <family val="2"/>
    </font>
    <font>
      <sz val="11"/>
      <color indexed="8"/>
      <name val="Arial"/>
      <family val="2"/>
    </font>
    <font>
      <sz val="9"/>
      <color indexed="8"/>
      <name val="Arial"/>
      <family val="2"/>
    </font>
    <font>
      <sz val="10"/>
      <color indexed="8"/>
      <name val="Arial"/>
      <family val="2"/>
    </font>
    <font>
      <b/>
      <sz val="13"/>
      <color indexed="8"/>
      <name val="Arial"/>
      <family val="2"/>
    </font>
    <font>
      <b/>
      <sz val="12"/>
      <color indexed="8"/>
      <name val="Arial"/>
      <family val="2"/>
    </font>
    <font>
      <sz val="8"/>
      <color rgb="FFFF0000"/>
      <name val="Arial"/>
      <family val="2"/>
    </font>
    <font>
      <b/>
      <sz val="10"/>
      <color indexed="8"/>
      <name val="Arial"/>
      <family val="2"/>
    </font>
    <font>
      <sz val="10"/>
      <name val="Arial"/>
      <family val="2"/>
    </font>
    <font>
      <sz val="9"/>
      <name val="Arial"/>
      <family val="2"/>
    </font>
    <font>
      <sz val="8"/>
      <color indexed="55"/>
      <name val="Arial"/>
      <family val="2"/>
    </font>
    <font>
      <sz val="10"/>
      <color rgb="FFFF0000"/>
      <name val="Arial"/>
      <family val="2"/>
    </font>
    <font>
      <b/>
      <sz val="9"/>
      <color indexed="8"/>
      <name val="Arial"/>
      <family val="2"/>
    </font>
    <font>
      <b/>
      <sz val="9"/>
      <name val="Arial"/>
      <family val="2"/>
    </font>
    <font>
      <sz val="9"/>
      <color theme="1"/>
      <name val="Arial"/>
      <family val="2"/>
    </font>
    <font>
      <sz val="8"/>
      <name val="Arial"/>
      <family val="2"/>
    </font>
    <font>
      <b/>
      <u/>
      <sz val="8"/>
      <color indexed="8"/>
      <name val="Arial"/>
      <family val="2"/>
    </font>
    <font>
      <sz val="8"/>
      <color indexed="8"/>
      <name val="Arial"/>
      <family val="2"/>
    </font>
    <font>
      <sz val="11"/>
      <color theme="1"/>
      <name val="Arial"/>
      <family val="2"/>
    </font>
    <font>
      <vertAlign val="superscript"/>
      <sz val="10"/>
      <color theme="1"/>
      <name val="Arial"/>
      <family val="2"/>
    </font>
    <font>
      <vertAlign val="superscript"/>
      <sz val="11"/>
      <color theme="1"/>
      <name val="Arial"/>
      <family val="2"/>
    </font>
    <font>
      <sz val="11"/>
      <name val="Arial"/>
      <family val="2"/>
    </font>
    <font>
      <sz val="8"/>
      <color theme="1"/>
      <name val="Arial"/>
      <family val="2"/>
    </font>
    <font>
      <b/>
      <sz val="8"/>
      <color theme="1"/>
      <name val="Arial"/>
      <family val="2"/>
    </font>
    <font>
      <b/>
      <sz val="11"/>
      <color indexed="8"/>
      <name val="Calibri"/>
      <family val="2"/>
      <scheme val="minor"/>
    </font>
    <font>
      <sz val="11"/>
      <color theme="0" tint="-0.499984740745262"/>
      <name val="Arial"/>
      <family val="2"/>
    </font>
    <font>
      <b/>
      <u/>
      <sz val="8"/>
      <name val="Arial"/>
      <family val="2"/>
    </font>
    <font>
      <b/>
      <u/>
      <sz val="8"/>
      <color rgb="FF000000"/>
      <name val="Arial"/>
      <family val="2"/>
    </font>
    <font>
      <sz val="6"/>
      <color theme="1"/>
      <name val="Arial"/>
      <family val="2"/>
    </font>
    <font>
      <b/>
      <sz val="12"/>
      <color theme="1"/>
      <name val="Arial"/>
      <family val="2"/>
    </font>
    <font>
      <u/>
      <sz val="8"/>
      <color theme="1"/>
      <name val="Arial"/>
      <family val="2"/>
    </font>
    <font>
      <b/>
      <sz val="12"/>
      <name val="Arial"/>
      <family val="2"/>
    </font>
    <font>
      <sz val="8"/>
      <name val="Calibri"/>
      <family val="2"/>
      <scheme val="minor"/>
    </font>
    <font>
      <u/>
      <sz val="8"/>
      <name val="Arial"/>
      <family val="2"/>
    </font>
  </fonts>
  <fills count="9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gray0625">
        <fgColor indexed="23"/>
        <bgColor indexed="9"/>
      </patternFill>
    </fill>
    <fill>
      <patternFill patternType="solid">
        <fgColor indexed="11"/>
        <bgColor indexed="64"/>
      </patternFill>
    </fill>
    <fill>
      <patternFill patternType="solid">
        <fgColor indexed="14"/>
        <bgColor indexed="64"/>
      </patternFill>
    </fill>
    <fill>
      <patternFill patternType="solid">
        <fgColor indexed="9"/>
        <b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DCE6F1"/>
        <bgColor indexed="64"/>
      </patternFill>
    </fill>
    <fill>
      <patternFill patternType="solid">
        <fgColor theme="0" tint="-0.499984740745262"/>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gray0625">
        <fgColor rgb="FF808080"/>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BFBFBF"/>
        <bgColor indexed="64"/>
      </patternFill>
    </fill>
    <fill>
      <patternFill patternType="solid">
        <fgColor rgb="FFF2DCDB"/>
        <bgColor indexed="64"/>
      </patternFill>
    </fill>
    <fill>
      <patternFill patternType="solid">
        <fgColor rgb="FFD3FDDA"/>
        <bgColor indexed="64"/>
      </patternFill>
    </fill>
    <fill>
      <patternFill patternType="solid">
        <fgColor rgb="FFFFFF66"/>
        <bgColor indexed="64"/>
      </patternFill>
    </fill>
    <fill>
      <patternFill patternType="solid">
        <fgColor rgb="FFADDB7B"/>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rgb="FFDCE6F1"/>
        <bgColor indexed="9"/>
      </patternFill>
    </fill>
    <fill>
      <patternFill patternType="solid">
        <fgColor theme="4" tint="0.79998168889431442"/>
        <bgColor indexed="9"/>
      </patternFill>
    </fill>
    <fill>
      <patternFill patternType="solid">
        <fgColor rgb="FF99FF66"/>
        <bgColor indexed="64"/>
      </patternFill>
    </fill>
    <fill>
      <patternFill patternType="gray0625">
        <bgColor theme="4" tint="0.79998168889431442"/>
      </patternFill>
    </fill>
    <fill>
      <patternFill patternType="solid">
        <fgColor rgb="FF777777"/>
        <bgColor indexed="64"/>
      </patternFill>
    </fill>
    <fill>
      <patternFill patternType="lightUp"/>
    </fill>
    <fill>
      <patternFill patternType="solid">
        <fgColor theme="9" tint="0.59999389629810485"/>
        <bgColor indexed="64"/>
      </patternFill>
    </fill>
    <fill>
      <patternFill patternType="solid">
        <fgColor rgb="FFFFC00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C1C1C1"/>
        <bgColor indexed="64"/>
      </patternFill>
    </fill>
    <fill>
      <patternFill patternType="solid">
        <fgColor theme="7" tint="0.79998168889431442"/>
        <bgColor indexed="64"/>
      </patternFill>
    </fill>
  </fills>
  <borders count="118">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
      <left/>
      <right/>
      <top style="medium">
        <color indexed="64"/>
      </top>
      <bottom/>
      <diagonal/>
    </border>
    <border>
      <left style="medium">
        <color indexed="64"/>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s>
  <cellStyleXfs count="1132">
    <xf numFmtId="0" fontId="0" fillId="0" borderId="0"/>
    <xf numFmtId="0" fontId="69" fillId="34" borderId="0" applyNumberFormat="0" applyBorder="0" applyAlignment="0" applyProtection="0"/>
    <xf numFmtId="0" fontId="69" fillId="3" borderId="0" applyNumberFormat="0" applyBorder="0" applyAlignment="0" applyProtection="0"/>
    <xf numFmtId="0" fontId="69" fillId="34"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34"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1"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69" fillId="35" borderId="0" applyNumberFormat="0" applyBorder="0" applyAlignment="0" applyProtection="0"/>
    <xf numFmtId="0" fontId="69" fillId="6" borderId="0" applyNumberFormat="0" applyBorder="0" applyAlignment="0" applyProtection="0"/>
    <xf numFmtId="0" fontId="69" fillId="3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3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9" fillId="36" borderId="0" applyNumberFormat="0" applyBorder="0" applyAlignment="0" applyProtection="0"/>
    <xf numFmtId="0" fontId="69" fillId="8" borderId="0" applyNumberFormat="0" applyBorder="0" applyAlignment="0" applyProtection="0"/>
    <xf numFmtId="0" fontId="69" fillId="3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36"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11"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69" fillId="37" borderId="0" applyNumberFormat="0" applyBorder="0" applyAlignment="0" applyProtection="0"/>
    <xf numFmtId="0" fontId="69" fillId="10" borderId="0" applyNumberFormat="0" applyBorder="0" applyAlignment="0" applyProtection="0"/>
    <xf numFmtId="0" fontId="69"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69" fillId="37" borderId="0" applyNumberFormat="0" applyBorder="0" applyAlignment="0" applyProtection="0"/>
    <xf numFmtId="0" fontId="69" fillId="9" borderId="0" applyNumberFormat="0" applyBorder="0" applyAlignment="0" applyProtection="0"/>
    <xf numFmtId="0" fontId="69" fillId="9"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38" borderId="0" applyNumberFormat="0" applyBorder="0" applyAlignment="0" applyProtection="0"/>
    <xf numFmtId="0" fontId="69" fillId="4" borderId="0" applyNumberFormat="0" applyBorder="0" applyAlignment="0" applyProtection="0"/>
    <xf numFmtId="0" fontId="69" fillId="4" borderId="0" applyNumberFormat="0" applyBorder="0" applyAlignment="0" applyProtection="0"/>
    <xf numFmtId="0" fontId="69" fillId="38" borderId="0" applyNumberFormat="0" applyBorder="0" applyAlignment="0" applyProtection="0"/>
    <xf numFmtId="0" fontId="69" fillId="2"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11"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9" fillId="39"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11"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69" fillId="40" borderId="0" applyNumberFormat="0" applyBorder="0" applyAlignment="0" applyProtection="0"/>
    <xf numFmtId="0" fontId="69" fillId="40" borderId="0" applyNumberFormat="0" applyBorder="0" applyAlignment="0" applyProtection="0"/>
    <xf numFmtId="0" fontId="69"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41"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11"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69" fillId="42" borderId="0" applyNumberFormat="0" applyBorder="0" applyAlignment="0" applyProtection="0"/>
    <xf numFmtId="0" fontId="69" fillId="14" borderId="0" applyNumberFormat="0" applyBorder="0" applyAlignment="0" applyProtection="0"/>
    <xf numFmtId="0" fontId="69" fillId="4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4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1"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9" fillId="43"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43" borderId="0" applyNumberFormat="0" applyBorder="0" applyAlignment="0" applyProtection="0"/>
    <xf numFmtId="0" fontId="69" fillId="15"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1"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9" fillId="44" borderId="0" applyNumberFormat="0" applyBorder="0" applyAlignment="0" applyProtection="0"/>
    <xf numFmtId="0" fontId="69" fillId="44" borderId="0" applyNumberFormat="0" applyBorder="0" applyAlignment="0" applyProtection="0"/>
    <xf numFmtId="0" fontId="69" fillId="2"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69" fillId="45" borderId="0" applyNumberFormat="0" applyBorder="0" applyAlignment="0" applyProtection="0"/>
    <xf numFmtId="0" fontId="69" fillId="5" borderId="0" applyNumberFormat="0" applyBorder="0" applyAlignment="0" applyProtection="0"/>
    <xf numFmtId="0" fontId="69" fillId="5" borderId="0" applyNumberFormat="0" applyBorder="0" applyAlignment="0" applyProtection="0"/>
    <xf numFmtId="0" fontId="69" fillId="45" borderId="0" applyNumberFormat="0" applyBorder="0" applyAlignment="0" applyProtection="0"/>
    <xf numFmtId="0" fontId="69" fillId="5"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11"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0" fillId="46"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6" borderId="0" applyNumberFormat="0" applyBorder="0" applyAlignment="0" applyProtection="0"/>
    <xf numFmtId="0" fontId="70" fillId="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70" fillId="47"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0" fillId="4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70" fillId="49" borderId="0" applyNumberFormat="0" applyBorder="0" applyAlignment="0" applyProtection="0"/>
    <xf numFmtId="0" fontId="70" fillId="18" borderId="0" applyNumberFormat="0" applyBorder="0" applyAlignment="0" applyProtection="0"/>
    <xf numFmtId="0" fontId="70" fillId="49"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70" fillId="49"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70" fillId="50"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50" borderId="0" applyNumberFormat="0" applyBorder="0" applyAlignment="0" applyProtection="0"/>
    <xf numFmtId="0" fontId="70" fillId="2"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70" fillId="51" borderId="0" applyNumberFormat="0" applyBorder="0" applyAlignment="0" applyProtection="0"/>
    <xf numFmtId="0" fontId="70" fillId="20" borderId="0" applyNumberFormat="0" applyBorder="0" applyAlignment="0" applyProtection="0"/>
    <xf numFmtId="0" fontId="70"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1"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70" fillId="52" borderId="0" applyNumberFormat="0" applyBorder="0" applyAlignment="0" applyProtection="0"/>
    <xf numFmtId="0" fontId="35" fillId="21"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52" borderId="0" applyNumberFormat="0" applyBorder="0" applyAlignment="0" applyProtection="0"/>
    <xf numFmtId="0" fontId="70" fillId="19" borderId="0" applyNumberFormat="0" applyBorder="0" applyAlignment="0" applyProtection="0"/>
    <xf numFmtId="0" fontId="70" fillId="21" borderId="0" applyNumberFormat="0" applyBorder="0" applyAlignment="0" applyProtection="0"/>
    <xf numFmtId="0" fontId="70" fillId="53" borderId="0" applyNumberFormat="0" applyBorder="0" applyAlignment="0" applyProtection="0"/>
    <xf numFmtId="0" fontId="35" fillId="22" borderId="0" applyNumberFormat="0" applyBorder="0" applyAlignment="0" applyProtection="0"/>
    <xf numFmtId="0" fontId="70" fillId="23" borderId="0" applyNumberFormat="0" applyBorder="0" applyAlignment="0" applyProtection="0"/>
    <xf numFmtId="0" fontId="70" fillId="22" borderId="0" applyNumberFormat="0" applyBorder="0" applyAlignment="0" applyProtection="0"/>
    <xf numFmtId="0" fontId="35" fillId="24" borderId="0" applyNumberFormat="0" applyBorder="0" applyAlignment="0" applyProtection="0"/>
    <xf numFmtId="0" fontId="70" fillId="55" borderId="0" applyNumberFormat="0" applyBorder="0" applyAlignment="0" applyProtection="0"/>
    <xf numFmtId="0" fontId="35" fillId="18"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55" borderId="0" applyNumberFormat="0" applyBorder="0" applyAlignment="0" applyProtection="0"/>
    <xf numFmtId="0" fontId="70" fillId="25" borderId="0" applyNumberFormat="0" applyBorder="0" applyAlignment="0" applyProtection="0"/>
    <xf numFmtId="0" fontId="70" fillId="18" borderId="0" applyNumberFormat="0" applyBorder="0" applyAlignment="0" applyProtection="0"/>
    <xf numFmtId="0" fontId="35" fillId="19" borderId="0" applyNumberFormat="0" applyBorder="0" applyAlignment="0" applyProtection="0"/>
    <xf numFmtId="0" fontId="35" fillId="23"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70" fillId="22" borderId="0" applyNumberFormat="0" applyBorder="0" applyAlignment="0" applyProtection="0"/>
    <xf numFmtId="0" fontId="70" fillId="22"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54"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0" fillId="57" borderId="0" applyNumberFormat="0" applyBorder="0" applyAlignment="0" applyProtection="0"/>
    <xf numFmtId="0" fontId="71" fillId="58" borderId="100"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71" fillId="58" borderId="100" applyNumberFormat="0" applyAlignment="0" applyProtection="0"/>
    <xf numFmtId="0" fontId="71" fillId="9" borderId="100" applyNumberFormat="0" applyAlignment="0" applyProtection="0"/>
    <xf numFmtId="0" fontId="71" fillId="9" borderId="100" applyNumberFormat="0" applyAlignment="0" applyProtection="0"/>
    <xf numFmtId="0" fontId="71" fillId="58" borderId="100" applyNumberFormat="0" applyAlignment="0" applyProtection="0"/>
    <xf numFmtId="0" fontId="12" fillId="9" borderId="1" applyNumberFormat="0" applyAlignment="0" applyProtection="0"/>
    <xf numFmtId="0" fontId="71" fillId="15" borderId="100" applyNumberFormat="0" applyAlignment="0" applyProtection="0"/>
    <xf numFmtId="0" fontId="12" fillId="9" borderId="1"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36" fillId="15" borderId="2" applyNumberFormat="0" applyAlignment="0" applyProtection="0"/>
    <xf numFmtId="0" fontId="36" fillId="15" borderId="2" applyNumberFormat="0" applyAlignment="0" applyProtection="0"/>
    <xf numFmtId="0" fontId="36" fillId="15" borderId="2" applyNumberFormat="0" applyAlignment="0" applyProtection="0"/>
    <xf numFmtId="0" fontId="71" fillId="15" borderId="100" applyNumberFormat="0" applyAlignment="0" applyProtection="0"/>
    <xf numFmtId="0" fontId="36" fillId="15" borderId="2" applyNumberFormat="0" applyAlignment="0" applyProtection="0"/>
    <xf numFmtId="0" fontId="71" fillId="15" borderId="100" applyNumberFormat="0" applyAlignment="0" applyProtection="0"/>
    <xf numFmtId="0" fontId="71" fillId="15" borderId="100" applyNumberFormat="0" applyAlignment="0" applyProtection="0"/>
    <xf numFmtId="0" fontId="12" fillId="15" borderId="1" applyNumberFormat="0" applyAlignment="0" applyProtection="0"/>
    <xf numFmtId="0" fontId="71" fillId="15" borderId="100" applyNumberFormat="0" applyAlignment="0" applyProtection="0"/>
    <xf numFmtId="0" fontId="36" fillId="15" borderId="2" applyNumberFormat="0" applyAlignment="0" applyProtection="0"/>
    <xf numFmtId="0" fontId="36" fillId="15" borderId="2" applyNumberFormat="0" applyAlignment="0" applyProtection="0"/>
    <xf numFmtId="0" fontId="71" fillId="15" borderId="100" applyNumberFormat="0" applyAlignment="0" applyProtection="0"/>
    <xf numFmtId="0" fontId="48" fillId="6" borderId="0" applyNumberFormat="0" applyBorder="0" applyAlignment="0" applyProtection="0"/>
    <xf numFmtId="0" fontId="73" fillId="58" borderId="101" applyNumberFormat="0" applyAlignment="0" applyProtection="0"/>
    <xf numFmtId="0" fontId="73" fillId="15" borderId="101" applyNumberFormat="0" applyAlignment="0" applyProtection="0"/>
    <xf numFmtId="0" fontId="73" fillId="58" borderId="101" applyNumberFormat="0" applyAlignment="0" applyProtection="0"/>
    <xf numFmtId="0" fontId="73" fillId="9" borderId="101" applyNumberFormat="0" applyAlignment="0" applyProtection="0"/>
    <xf numFmtId="0" fontId="73" fillId="9" borderId="101" applyNumberFormat="0" applyAlignment="0" applyProtection="0"/>
    <xf numFmtId="0" fontId="73" fillId="58" borderId="101" applyNumberFormat="0" applyAlignment="0" applyProtection="0"/>
    <xf numFmtId="0" fontId="73" fillId="9" borderId="101" applyNumberFormat="0" applyAlignment="0" applyProtection="0"/>
    <xf numFmtId="0" fontId="73" fillId="9" borderId="101" applyNumberFormat="0" applyAlignment="0" applyProtection="0"/>
    <xf numFmtId="0" fontId="73" fillId="15" borderId="101" applyNumberFormat="0" applyAlignment="0" applyProtection="0"/>
    <xf numFmtId="0" fontId="37" fillId="15" borderId="3" applyNumberFormat="0" applyAlignment="0" applyProtection="0"/>
    <xf numFmtId="0" fontId="37" fillId="15" borderId="3" applyNumberFormat="0" applyAlignment="0" applyProtection="0"/>
    <xf numFmtId="0" fontId="37" fillId="15" borderId="3" applyNumberFormat="0" applyAlignment="0" applyProtection="0"/>
    <xf numFmtId="0" fontId="73" fillId="15" borderId="101" applyNumberFormat="0" applyAlignment="0" applyProtection="0"/>
    <xf numFmtId="0" fontId="37" fillId="15" borderId="3" applyNumberFormat="0" applyAlignment="0" applyProtection="0"/>
    <xf numFmtId="0" fontId="73" fillId="15" borderId="101" applyNumberFormat="0" applyAlignment="0" applyProtection="0"/>
    <xf numFmtId="0" fontId="37" fillId="15" borderId="3" applyNumberFormat="0" applyAlignment="0" applyProtection="0"/>
    <xf numFmtId="0" fontId="37" fillId="15" borderId="3" applyNumberFormat="0" applyAlignment="0" applyProtection="0"/>
    <xf numFmtId="0" fontId="50" fillId="26" borderId="5" applyNumberFormat="0" applyAlignment="0" applyProtection="0"/>
    <xf numFmtId="0" fontId="74" fillId="60" borderId="102" applyNumberFormat="0" applyAlignment="0" applyProtection="0"/>
    <xf numFmtId="0" fontId="74" fillId="60" borderId="4" applyNumberFormat="0" applyAlignment="0" applyProtection="0"/>
    <xf numFmtId="0" fontId="75" fillId="61" borderId="101"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38" fillId="5" borderId="3" applyNumberFormat="0" applyAlignment="0" applyProtection="0"/>
    <xf numFmtId="0" fontId="76" fillId="0" borderId="103"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103"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103" applyNumberFormat="0" applyFill="0" applyAlignment="0" applyProtection="0"/>
    <xf numFmtId="0" fontId="76" fillId="0" borderId="6" applyNumberFormat="0" applyFill="0" applyAlignment="0" applyProtection="0"/>
    <xf numFmtId="0" fontId="76" fillId="0" borderId="6"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76" fillId="0" borderId="7" applyNumberFormat="0" applyFill="0" applyAlignment="0" applyProtection="0"/>
    <xf numFmtId="0" fontId="12" fillId="0" borderId="7" applyNumberFormat="0" applyFill="0" applyAlignment="0" applyProtection="0"/>
    <xf numFmtId="0" fontId="77"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7" fillId="8"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9" fillId="0" borderId="104" applyNumberFormat="0" applyFill="0" applyAlignment="0" applyProtection="0"/>
    <xf numFmtId="0" fontId="80" fillId="0" borderId="8" applyNumberFormat="0" applyFill="0" applyAlignment="0" applyProtection="0"/>
    <xf numFmtId="0" fontId="64" fillId="0" borderId="8" applyNumberFormat="0" applyFill="0" applyAlignment="0" applyProtection="0"/>
    <xf numFmtId="0" fontId="79" fillId="0" borderId="104" applyNumberFormat="0" applyFill="0" applyAlignment="0" applyProtection="0"/>
    <xf numFmtId="0" fontId="64" fillId="0" borderId="8" applyNumberFormat="0" applyFill="0" applyAlignment="0" applyProtection="0"/>
    <xf numFmtId="0" fontId="42" fillId="0" borderId="9" applyNumberFormat="0" applyFill="0" applyAlignment="0" applyProtection="0"/>
    <xf numFmtId="0" fontId="81" fillId="0" borderId="105" applyNumberFormat="0" applyFill="0" applyAlignment="0" applyProtection="0"/>
    <xf numFmtId="0" fontId="82" fillId="0" borderId="11" applyNumberFormat="0" applyFill="0" applyAlignment="0" applyProtection="0"/>
    <xf numFmtId="0" fontId="65" fillId="0" borderId="11" applyNumberFormat="0" applyFill="0" applyAlignment="0" applyProtection="0"/>
    <xf numFmtId="0" fontId="81" fillId="0" borderId="105" applyNumberFormat="0" applyFill="0" applyAlignment="0" applyProtection="0"/>
    <xf numFmtId="0" fontId="65" fillId="0" borderId="10" applyNumberFormat="0" applyFill="0" applyAlignment="0" applyProtection="0"/>
    <xf numFmtId="0" fontId="45" fillId="0" borderId="12" applyNumberFormat="0" applyFill="0" applyAlignment="0" applyProtection="0"/>
    <xf numFmtId="0" fontId="83" fillId="0" borderId="106" applyNumberFormat="0" applyFill="0" applyAlignment="0" applyProtection="0"/>
    <xf numFmtId="0" fontId="84" fillId="0" borderId="14" applyNumberFormat="0" applyFill="0" applyAlignment="0" applyProtection="0"/>
    <xf numFmtId="0" fontId="66" fillId="0" borderId="14" applyNumberFormat="0" applyFill="0" applyAlignment="0" applyProtection="0"/>
    <xf numFmtId="0" fontId="83" fillId="0" borderId="106" applyNumberFormat="0" applyFill="0" applyAlignment="0" applyProtection="0"/>
    <xf numFmtId="0" fontId="66" fillId="0" borderId="13" applyNumberFormat="0" applyFill="0" applyAlignment="0" applyProtection="0"/>
    <xf numFmtId="0" fontId="43" fillId="0" borderId="15"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66" fillId="0" borderId="0" applyNumberFormat="0" applyFill="0" applyBorder="0" applyAlignment="0" applyProtection="0"/>
    <xf numFmtId="0" fontId="83" fillId="0" borderId="0" applyNumberFormat="0" applyFill="0" applyBorder="0" applyAlignment="0" applyProtection="0"/>
    <xf numFmtId="0" fontId="66" fillId="0" borderId="0" applyNumberFormat="0" applyFill="0" applyBorder="0" applyAlignment="0" applyProtection="0"/>
    <xf numFmtId="0" fontId="43" fillId="0" borderId="0" applyNumberFormat="0" applyFill="0" applyBorder="0" applyAlignment="0" applyProtection="0"/>
    <xf numFmtId="0" fontId="85" fillId="0" borderId="0" applyNumberFormat="0" applyFill="0" applyBorder="0" applyAlignment="0" applyProtection="0"/>
    <xf numFmtId="0" fontId="38" fillId="5" borderId="3" applyNumberFormat="0" applyAlignment="0" applyProtection="0"/>
    <xf numFmtId="164" fontId="2" fillId="0" borderId="0" applyFont="0" applyFill="0" applyBorder="0" applyAlignment="0" applyProtection="0"/>
    <xf numFmtId="0" fontId="49" fillId="0" borderId="16" applyNumberFormat="0" applyFill="0" applyAlignment="0" applyProtection="0"/>
    <xf numFmtId="0" fontId="87" fillId="63" borderId="0" applyNumberFormat="0" applyBorder="0" applyAlignment="0" applyProtection="0"/>
    <xf numFmtId="0" fontId="69" fillId="0" borderId="0"/>
    <xf numFmtId="0" fontId="69" fillId="64" borderId="108" applyNumberFormat="0" applyFont="0" applyAlignment="0" applyProtection="0"/>
    <xf numFmtId="0" fontId="3" fillId="7" borderId="17" applyNumberFormat="0" applyFont="0" applyAlignment="0" applyProtection="0"/>
    <xf numFmtId="0" fontId="3" fillId="7" borderId="17"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69"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11"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36" fillId="15" borderId="2" applyNumberFormat="0" applyAlignment="0" applyProtection="0"/>
    <xf numFmtId="9" fontId="11"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7"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3" fillId="0" borderId="0"/>
    <xf numFmtId="0" fontId="69" fillId="0" borderId="0"/>
    <xf numFmtId="0" fontId="69" fillId="0" borderId="0"/>
    <xf numFmtId="0" fontId="88" fillId="0" borderId="0"/>
    <xf numFmtId="0" fontId="3" fillId="0" borderId="0"/>
    <xf numFmtId="0" fontId="69" fillId="0" borderId="0"/>
    <xf numFmtId="0" fontId="69" fillId="0" borderId="0"/>
    <xf numFmtId="0" fontId="88" fillId="0" borderId="0"/>
    <xf numFmtId="0" fontId="27" fillId="0" borderId="0"/>
    <xf numFmtId="0" fontId="3" fillId="0" borderId="0"/>
    <xf numFmtId="0" fontId="11"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88"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69" fillId="0" borderId="0"/>
    <xf numFmtId="0" fontId="3" fillId="0" borderId="0"/>
    <xf numFmtId="0" fontId="3" fillId="0" borderId="0"/>
    <xf numFmtId="0" fontId="53" fillId="0" borderId="0"/>
    <xf numFmtId="0" fontId="53" fillId="0" borderId="0"/>
    <xf numFmtId="0" fontId="3" fillId="0" borderId="0"/>
    <xf numFmtId="0" fontId="3" fillId="0" borderId="0"/>
    <xf numFmtId="0" fontId="89" fillId="0" borderId="0" applyNumberFormat="0" applyFill="0" applyBorder="0" applyAlignment="0" applyProtection="0"/>
    <xf numFmtId="0" fontId="90" fillId="0" borderId="0" applyNumberFormat="0" applyFill="0" applyBorder="0" applyAlignment="0" applyProtection="0"/>
    <xf numFmtId="0" fontId="67" fillId="0" borderId="0" applyNumberFormat="0" applyFill="0" applyBorder="0" applyAlignment="0" applyProtection="0"/>
    <xf numFmtId="0" fontId="89" fillId="0" borderId="0" applyNumberFormat="0" applyFill="0" applyBorder="0" applyAlignment="0" applyProtection="0"/>
    <xf numFmtId="0" fontId="67" fillId="0" borderId="0" applyNumberFormat="0" applyFill="0" applyBorder="0" applyAlignment="0" applyProtection="0"/>
    <xf numFmtId="0" fontId="44" fillId="0" borderId="0" applyNumberFormat="0" applyFill="0" applyBorder="0" applyAlignment="0" applyProtection="0"/>
    <xf numFmtId="0" fontId="12" fillId="0" borderId="7" applyNumberFormat="0" applyFill="0" applyAlignment="0" applyProtection="0"/>
    <xf numFmtId="0" fontId="42" fillId="0" borderId="9" applyNumberFormat="0" applyFill="0" applyAlignment="0" applyProtection="0"/>
    <xf numFmtId="0" fontId="42" fillId="0" borderId="9" applyNumberFormat="0" applyFill="0" applyAlignment="0" applyProtection="0"/>
    <xf numFmtId="0" fontId="45" fillId="0" borderId="12" applyNumberFormat="0" applyFill="0" applyAlignment="0" applyProtection="0"/>
    <xf numFmtId="0" fontId="45" fillId="0" borderId="12" applyNumberFormat="0" applyFill="0" applyAlignment="0" applyProtection="0"/>
    <xf numFmtId="0" fontId="43" fillId="0" borderId="15"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86" fillId="0" borderId="107" applyNumberFormat="0" applyFill="0" applyAlignment="0" applyProtection="0"/>
    <xf numFmtId="0" fontId="86" fillId="0" borderId="107" applyNumberFormat="0" applyFill="0" applyAlignment="0" applyProtection="0"/>
    <xf numFmtId="0" fontId="86" fillId="0" borderId="107" applyNumberFormat="0" applyFill="0" applyAlignment="0" applyProtection="0"/>
    <xf numFmtId="0" fontId="91" fillId="0" borderId="0" applyNumberFormat="0" applyFill="0" applyBorder="0" applyAlignment="0" applyProtection="0"/>
    <xf numFmtId="0" fontId="4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74" fillId="60" borderId="102" applyNumberFormat="0" applyAlignment="0" applyProtection="0"/>
    <xf numFmtId="0" fontId="74" fillId="60" borderId="102" applyNumberFormat="0" applyAlignment="0" applyProtection="0"/>
    <xf numFmtId="0" fontId="74" fillId="60" borderId="102" applyNumberFormat="0" applyAlignment="0" applyProtection="0"/>
    <xf numFmtId="0" fontId="74" fillId="60" borderId="4" applyNumberFormat="0" applyAlignment="0" applyProtection="0"/>
    <xf numFmtId="0" fontId="74" fillId="60" borderId="102" applyNumberFormat="0" applyAlignment="0" applyProtection="0"/>
    <xf numFmtId="0" fontId="74" fillId="60" borderId="4" applyNumberFormat="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70" fillId="52" borderId="0" applyNumberFormat="0" applyBorder="0" applyAlignment="0" applyProtection="0"/>
    <xf numFmtId="0" fontId="70" fillId="55"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70" fillId="53" borderId="0" applyNumberFormat="0" applyBorder="0" applyAlignment="0" applyProtection="0"/>
    <xf numFmtId="0" fontId="70" fillId="53" borderId="0" applyNumberFormat="0" applyBorder="0" applyAlignment="0" applyProtection="0"/>
    <xf numFmtId="0" fontId="70" fillId="54" borderId="0" applyNumberFormat="0" applyBorder="0" applyAlignment="0" applyProtection="0"/>
    <xf numFmtId="0" fontId="70" fillId="25" borderId="0" applyNumberFormat="0" applyBorder="0" applyAlignment="0" applyProtection="0"/>
    <xf numFmtId="0" fontId="70" fillId="25" borderId="0" applyNumberFormat="0" applyBorder="0" applyAlignment="0" applyProtection="0"/>
    <xf numFmtId="0" fontId="70" fillId="56" borderId="0" applyNumberFormat="0" applyBorder="0" applyAlignment="0" applyProtection="0"/>
    <xf numFmtId="0" fontId="70" fillId="57" borderId="0" applyNumberFormat="0" applyBorder="0" applyAlignment="0" applyProtection="0"/>
    <xf numFmtId="0" fontId="138" fillId="9" borderId="1" applyNumberFormat="0" applyAlignment="0" applyProtection="0"/>
    <xf numFmtId="0" fontId="138" fillId="15" borderId="1" applyNumberFormat="0" applyAlignment="0" applyProtection="0"/>
    <xf numFmtId="0" fontId="138" fillId="15" borderId="1" applyNumberFormat="0" applyAlignment="0" applyProtection="0"/>
    <xf numFmtId="0" fontId="138" fillId="9" borderId="1" applyNumberFormat="0" applyAlignment="0" applyProtection="0"/>
    <xf numFmtId="0" fontId="138" fillId="9" borderId="1" applyNumberFormat="0" applyAlignment="0" applyProtection="0"/>
    <xf numFmtId="0" fontId="138" fillId="15" borderId="1" applyNumberFormat="0" applyAlignment="0" applyProtection="0"/>
    <xf numFmtId="0" fontId="138" fillId="15" borderId="1" applyNumberFormat="0" applyAlignment="0" applyProtection="0"/>
    <xf numFmtId="0" fontId="138" fillId="15" borderId="1" applyNumberFormat="0" applyAlignment="0" applyProtection="0"/>
    <xf numFmtId="0" fontId="48" fillId="6" borderId="0" applyNumberFormat="0" applyBorder="0" applyAlignment="0" applyProtection="0"/>
    <xf numFmtId="0" fontId="50" fillId="26" borderId="5" applyNumberFormat="0" applyAlignment="0" applyProtection="0"/>
    <xf numFmtId="0" fontId="74" fillId="60" borderId="4" applyNumberFormat="0" applyAlignment="0" applyProtection="0"/>
    <xf numFmtId="0" fontId="74" fillId="60" borderId="102" applyNumberFormat="0" applyAlignment="0" applyProtection="0"/>
    <xf numFmtId="0" fontId="74" fillId="60" borderId="102" applyNumberFormat="0" applyAlignment="0" applyProtection="0"/>
    <xf numFmtId="0" fontId="74" fillId="60" borderId="5" applyNumberFormat="0" applyAlignment="0" applyProtection="0"/>
    <xf numFmtId="0" fontId="47" fillId="8" borderId="0" applyNumberFormat="0" applyBorder="0" applyAlignment="0" applyProtection="0"/>
    <xf numFmtId="0" fontId="78" fillId="62" borderId="0" applyNumberFormat="0" applyBorder="0" applyAlignment="0" applyProtection="0"/>
    <xf numFmtId="0" fontId="80" fillId="0" borderId="8" applyNumberFormat="0" applyFill="0" applyAlignment="0" applyProtection="0"/>
    <xf numFmtId="0" fontId="79" fillId="0" borderId="104" applyNumberFormat="0" applyFill="0" applyAlignment="0" applyProtection="0"/>
    <xf numFmtId="0" fontId="82" fillId="0" borderId="10" applyNumberFormat="0" applyFill="0" applyAlignment="0" applyProtection="0"/>
    <xf numFmtId="0" fontId="82" fillId="0" borderId="11" applyNumberFormat="0" applyFill="0" applyAlignment="0" applyProtection="0"/>
    <xf numFmtId="0" fontId="81" fillId="0" borderId="105" applyNumberFormat="0" applyFill="0" applyAlignment="0" applyProtection="0"/>
    <xf numFmtId="0" fontId="84" fillId="0" borderId="13" applyNumberFormat="0" applyFill="0" applyAlignment="0" applyProtection="0"/>
    <xf numFmtId="0" fontId="84" fillId="0" borderId="14" applyNumberFormat="0" applyFill="0" applyAlignment="0" applyProtection="0"/>
    <xf numFmtId="0" fontId="83" fillId="0" borderId="106" applyNumberFormat="0" applyFill="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49" fillId="0" borderId="16" applyNumberFormat="0" applyFill="0" applyAlignment="0" applyProtection="0"/>
    <xf numFmtId="0" fontId="87" fillId="63" borderId="0" applyNumberFormat="0" applyBorder="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69"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0" fontId="2" fillId="64" borderId="108" applyNumberFormat="0" applyFont="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72" fillId="59"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8" fillId="0" borderId="0"/>
    <xf numFmtId="0" fontId="2" fillId="0" borderId="0"/>
    <xf numFmtId="0" fontId="2" fillId="0" borderId="0"/>
    <xf numFmtId="0" fontId="90"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80" fillId="0" borderId="8" applyNumberFormat="0" applyFill="0" applyAlignment="0" applyProtection="0"/>
    <xf numFmtId="0" fontId="80" fillId="0" borderId="8" applyNumberFormat="0" applyFill="0" applyAlignment="0" applyProtection="0"/>
    <xf numFmtId="0" fontId="82" fillId="0" borderId="10" applyNumberFormat="0" applyFill="0" applyAlignment="0" applyProtection="0"/>
    <xf numFmtId="0" fontId="82" fillId="0" borderId="10" applyNumberFormat="0" applyFill="0" applyAlignment="0" applyProtection="0"/>
    <xf numFmtId="0" fontId="84" fillId="0" borderId="13" applyNumberFormat="0" applyFill="0" applyAlignment="0" applyProtection="0"/>
    <xf numFmtId="0" fontId="84" fillId="0" borderId="13"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86" fillId="0" borderId="107" applyNumberFormat="0" applyFill="0" applyAlignment="0" applyProtection="0"/>
    <xf numFmtId="0" fontId="74" fillId="60" borderId="4" applyNumberFormat="0" applyAlignment="0" applyProtection="0"/>
    <xf numFmtId="0" fontId="74" fillId="60" borderId="4" applyNumberFormat="0" applyAlignment="0" applyProtection="0"/>
    <xf numFmtId="0" fontId="74" fillId="60" borderId="102" applyNumberFormat="0" applyAlignment="0" applyProtection="0"/>
    <xf numFmtId="0" fontId="70" fillId="19" borderId="0" applyNumberFormat="0" applyBorder="0" applyAlignment="0" applyProtection="0"/>
    <xf numFmtId="0" fontId="70" fillId="25" borderId="0" applyNumberFormat="0" applyBorder="0" applyAlignment="0" applyProtection="0"/>
    <xf numFmtId="0" fontId="70" fillId="22" borderId="0" applyNumberFormat="0" applyBorder="0" applyAlignment="0" applyProtection="0"/>
    <xf numFmtId="0" fontId="12" fillId="15" borderId="1" applyNumberFormat="0" applyAlignment="0" applyProtection="0"/>
    <xf numFmtId="0" fontId="12" fillId="9" borderId="1" applyNumberFormat="0" applyAlignment="0" applyProtection="0"/>
    <xf numFmtId="0" fontId="12" fillId="9" borderId="1" applyNumberFormat="0" applyAlignment="0" applyProtection="0"/>
    <xf numFmtId="0" fontId="12" fillId="15" borderId="1" applyNumberFormat="0" applyAlignment="0" applyProtection="0"/>
    <xf numFmtId="0" fontId="74" fillId="60" borderId="4" applyNumberFormat="0" applyAlignment="0" applyProtection="0"/>
    <xf numFmtId="0" fontId="64" fillId="0" borderId="8" applyNumberFormat="0" applyFill="0" applyAlignment="0" applyProtection="0"/>
    <xf numFmtId="0" fontId="64" fillId="0" borderId="8" applyNumberFormat="0" applyFill="0" applyAlignment="0" applyProtection="0"/>
    <xf numFmtId="0" fontId="65" fillId="0" borderId="11" applyNumberFormat="0" applyFill="0" applyAlignment="0" applyProtection="0"/>
    <xf numFmtId="0" fontId="65" fillId="0" borderId="10" applyNumberFormat="0" applyFill="0" applyAlignment="0" applyProtection="0"/>
    <xf numFmtId="0" fontId="66" fillId="0" borderId="14" applyNumberFormat="0" applyFill="0" applyAlignment="0" applyProtection="0"/>
    <xf numFmtId="0" fontId="66" fillId="0" borderId="13"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2" fillId="64" borderId="10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1049">
    <xf numFmtId="0" fontId="0" fillId="0" borderId="0" xfId="0"/>
    <xf numFmtId="0" fontId="8" fillId="0" borderId="0" xfId="0" applyFont="1" applyAlignment="1">
      <alignment horizontal="center"/>
    </xf>
    <xf numFmtId="0" fontId="7" fillId="0" borderId="0" xfId="547" applyFont="1" applyAlignment="1">
      <alignment horizontal="center"/>
    </xf>
    <xf numFmtId="0" fontId="17" fillId="0" borderId="0" xfId="0" applyFont="1"/>
    <xf numFmtId="0" fontId="21" fillId="0" borderId="0" xfId="0" applyFont="1"/>
    <xf numFmtId="0" fontId="4" fillId="0" borderId="0" xfId="513" applyFont="1"/>
    <xf numFmtId="0" fontId="22" fillId="0" borderId="0" xfId="513" applyFont="1"/>
    <xf numFmtId="0" fontId="13" fillId="0" borderId="0" xfId="0" applyFont="1"/>
    <xf numFmtId="0" fontId="21" fillId="0" borderId="0" xfId="0" applyFont="1" applyAlignment="1">
      <alignment vertical="center"/>
    </xf>
    <xf numFmtId="0" fontId="17" fillId="0" borderId="0" xfId="0" applyFont="1" applyAlignment="1">
      <alignment horizontal="center"/>
    </xf>
    <xf numFmtId="0" fontId="17" fillId="0" borderId="0" xfId="0" applyFont="1" applyAlignment="1">
      <alignment horizontal="center" vertical="center"/>
    </xf>
    <xf numFmtId="0" fontId="3" fillId="0" borderId="0" xfId="0" applyFont="1"/>
    <xf numFmtId="0" fontId="19" fillId="0" borderId="0" xfId="0" applyFont="1"/>
    <xf numFmtId="0" fontId="10" fillId="0" borderId="18" xfId="0" applyFont="1" applyBorder="1" applyAlignment="1">
      <alignment horizontal="center" vertical="center"/>
    </xf>
    <xf numFmtId="0" fontId="0" fillId="0" borderId="0" xfId="0" applyAlignment="1">
      <alignment horizontal="center"/>
    </xf>
    <xf numFmtId="0" fontId="10" fillId="27" borderId="18" xfId="0" applyFont="1" applyFill="1" applyBorder="1" applyAlignment="1">
      <alignment horizontal="center" vertical="center"/>
    </xf>
    <xf numFmtId="0" fontId="32" fillId="0" borderId="0" xfId="0" applyFont="1"/>
    <xf numFmtId="0" fontId="5" fillId="0" borderId="0" xfId="0" applyFont="1"/>
    <xf numFmtId="0" fontId="6" fillId="0" borderId="0" xfId="0" applyFont="1"/>
    <xf numFmtId="0" fontId="7" fillId="0" borderId="0" xfId="0" applyFont="1"/>
    <xf numFmtId="0" fontId="3" fillId="0" borderId="0" xfId="513"/>
    <xf numFmtId="0" fontId="18" fillId="0" borderId="0" xfId="0" applyFont="1"/>
    <xf numFmtId="0" fontId="14" fillId="0" borderId="0" xfId="0" applyFont="1"/>
    <xf numFmtId="0" fontId="15" fillId="0" borderId="0" xfId="0" applyFont="1"/>
    <xf numFmtId="0" fontId="16" fillId="0" borderId="0" xfId="513" applyFont="1"/>
    <xf numFmtId="0" fontId="4" fillId="0" borderId="0" xfId="513" applyFont="1" applyAlignment="1">
      <alignment horizontal="left"/>
    </xf>
    <xf numFmtId="0" fontId="16" fillId="0" borderId="0" xfId="513" applyFont="1" applyAlignment="1">
      <alignment vertical="center"/>
    </xf>
    <xf numFmtId="0" fontId="3" fillId="0" borderId="0" xfId="513" applyAlignment="1">
      <alignment horizontal="center"/>
    </xf>
    <xf numFmtId="0" fontId="3" fillId="0" borderId="0" xfId="0" applyFont="1" applyAlignment="1">
      <alignment wrapText="1"/>
    </xf>
    <xf numFmtId="0" fontId="20" fillId="0" borderId="0" xfId="0" applyFont="1"/>
    <xf numFmtId="0" fontId="26" fillId="0" borderId="0" xfId="0" applyFont="1"/>
    <xf numFmtId="0" fontId="13"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21" fillId="28" borderId="19" xfId="0" applyFont="1" applyFill="1" applyBorder="1" applyAlignment="1">
      <alignment horizontal="center"/>
    </xf>
    <xf numFmtId="165" fontId="16" fillId="29" borderId="19" xfId="425" applyNumberFormat="1" applyFont="1" applyFill="1" applyBorder="1" applyAlignment="1" applyProtection="1">
      <alignment horizontal="center" wrapText="1"/>
    </xf>
    <xf numFmtId="0" fontId="7" fillId="0" borderId="0" xfId="0" applyFont="1" applyAlignment="1">
      <alignment wrapText="1"/>
    </xf>
    <xf numFmtId="0" fontId="12" fillId="0" borderId="0" xfId="0" applyFont="1"/>
    <xf numFmtId="0" fontId="23" fillId="0" borderId="0" xfId="0" applyFont="1"/>
    <xf numFmtId="14" fontId="28" fillId="30" borderId="18" xfId="0" applyNumberFormat="1" applyFont="1" applyFill="1" applyBorder="1" applyAlignment="1">
      <alignment horizontal="center" vertical="center"/>
    </xf>
    <xf numFmtId="0" fontId="10" fillId="30" borderId="18" xfId="513" applyFont="1" applyFill="1" applyBorder="1" applyAlignment="1">
      <alignment vertical="center"/>
    </xf>
    <xf numFmtId="165" fontId="16" fillId="29" borderId="19" xfId="425" applyNumberFormat="1" applyFont="1" applyFill="1" applyBorder="1" applyAlignment="1" applyProtection="1">
      <alignment horizontal="center" vertical="center" wrapText="1"/>
    </xf>
    <xf numFmtId="0" fontId="21" fillId="28" borderId="19" xfId="0" applyFont="1" applyFill="1" applyBorder="1" applyAlignment="1">
      <alignment horizontal="center" vertical="center"/>
    </xf>
    <xf numFmtId="0" fontId="17" fillId="0" borderId="0" xfId="0" applyFont="1" applyAlignment="1">
      <alignment horizontal="center" vertical="center" wrapText="1"/>
    </xf>
    <xf numFmtId="14" fontId="13" fillId="0" borderId="0" xfId="0" applyNumberFormat="1" applyFont="1"/>
    <xf numFmtId="0" fontId="21" fillId="0" borderId="0" xfId="0" applyFont="1" applyAlignment="1">
      <alignment horizontal="center" vertical="center"/>
    </xf>
    <xf numFmtId="165" fontId="16" fillId="0" borderId="0" xfId="425" applyNumberFormat="1" applyFont="1" applyFill="1" applyBorder="1" applyAlignment="1" applyProtection="1">
      <alignment horizontal="center" vertical="center" wrapText="1"/>
    </xf>
    <xf numFmtId="0" fontId="17" fillId="0" borderId="0" xfId="0" applyFont="1" applyAlignment="1">
      <alignment horizontal="left" vertical="center"/>
    </xf>
    <xf numFmtId="0" fontId="16" fillId="0" borderId="0" xfId="513" applyFont="1" applyAlignment="1">
      <alignment horizontal="center" vertical="center"/>
    </xf>
    <xf numFmtId="0" fontId="17" fillId="0" borderId="0" xfId="0" applyFont="1" applyAlignment="1">
      <alignment vertical="center"/>
    </xf>
    <xf numFmtId="0" fontId="7" fillId="0" borderId="18" xfId="0" applyFont="1" applyBorder="1" applyAlignment="1">
      <alignment horizontal="center" vertical="center" wrapText="1"/>
    </xf>
    <xf numFmtId="0" fontId="33" fillId="27" borderId="0" xfId="0" applyFont="1" applyFill="1" applyAlignment="1">
      <alignment horizontal="left"/>
    </xf>
    <xf numFmtId="0" fontId="21" fillId="27" borderId="0" xfId="0" applyFont="1" applyFill="1"/>
    <xf numFmtId="0" fontId="16" fillId="0" borderId="0" xfId="0" applyFont="1"/>
    <xf numFmtId="10" fontId="13" fillId="0" borderId="0" xfId="0" applyNumberFormat="1" applyFont="1" applyAlignment="1">
      <alignment horizontal="center" vertical="center"/>
    </xf>
    <xf numFmtId="0" fontId="21" fillId="0" borderId="18" xfId="0" applyFont="1" applyBorder="1" applyAlignment="1">
      <alignment horizontal="center" vertical="center"/>
    </xf>
    <xf numFmtId="165" fontId="7" fillId="0" borderId="0" xfId="425" applyNumberFormat="1" applyFont="1" applyFill="1" applyBorder="1" applyAlignment="1" applyProtection="1">
      <alignment horizontal="center" wrapText="1"/>
    </xf>
    <xf numFmtId="16" fontId="13" fillId="0" borderId="20" xfId="0" applyNumberFormat="1" applyFont="1" applyBorder="1" applyAlignment="1">
      <alignment vertical="center" wrapText="1"/>
    </xf>
    <xf numFmtId="0" fontId="17" fillId="27" borderId="0" xfId="0" applyFont="1" applyFill="1"/>
    <xf numFmtId="0" fontId="31" fillId="0" borderId="0" xfId="0" applyFont="1"/>
    <xf numFmtId="0" fontId="31" fillId="0" borderId="0" xfId="0" applyFont="1" applyAlignment="1">
      <alignment wrapText="1"/>
    </xf>
    <xf numFmtId="0" fontId="13" fillId="0" borderId="20" xfId="0" applyFont="1" applyBorder="1" applyAlignment="1">
      <alignment vertical="center" wrapText="1"/>
    </xf>
    <xf numFmtId="1" fontId="25" fillId="30" borderId="20" xfId="0" applyNumberFormat="1" applyFont="1" applyFill="1" applyBorder="1" applyAlignment="1">
      <alignment horizontal="center" vertical="center" wrapText="1"/>
    </xf>
    <xf numFmtId="0" fontId="21" fillId="0" borderId="0" xfId="0" applyFont="1" applyAlignment="1">
      <alignment horizontal="right"/>
    </xf>
    <xf numFmtId="0" fontId="15" fillId="0" borderId="0" xfId="0" applyFont="1" applyAlignment="1">
      <alignment horizontal="center" vertical="center"/>
    </xf>
    <xf numFmtId="0" fontId="21" fillId="29" borderId="21" xfId="0" applyFont="1" applyFill="1" applyBorder="1" applyAlignment="1">
      <alignment horizontal="center" vertical="center" wrapText="1"/>
    </xf>
    <xf numFmtId="0" fontId="21" fillId="28" borderId="21" xfId="0" applyFont="1" applyFill="1" applyBorder="1" applyAlignment="1">
      <alignment horizontal="center" vertical="center"/>
    </xf>
    <xf numFmtId="0" fontId="16" fillId="0" borderId="0" xfId="548" applyFont="1"/>
    <xf numFmtId="0" fontId="30" fillId="0" borderId="0" xfId="0" applyFont="1"/>
    <xf numFmtId="0" fontId="16" fillId="0" borderId="0" xfId="0" applyFont="1" applyAlignment="1">
      <alignment wrapText="1"/>
    </xf>
    <xf numFmtId="0" fontId="24" fillId="31" borderId="21" xfId="0" applyFont="1" applyFill="1" applyBorder="1" applyAlignment="1">
      <alignment horizontal="center" vertical="center" wrapText="1"/>
    </xf>
    <xf numFmtId="0" fontId="21" fillId="32" borderId="22" xfId="0" applyFont="1" applyFill="1" applyBorder="1" applyAlignment="1">
      <alignment horizontal="center" vertical="center"/>
    </xf>
    <xf numFmtId="0" fontId="46" fillId="0" borderId="0" xfId="0" applyFont="1"/>
    <xf numFmtId="0" fontId="21" fillId="31" borderId="19" xfId="0" applyFont="1" applyFill="1" applyBorder="1" applyAlignment="1">
      <alignment horizontal="center"/>
    </xf>
    <xf numFmtId="0" fontId="21" fillId="32" borderId="19" xfId="0" applyFont="1" applyFill="1" applyBorder="1" applyAlignment="1">
      <alignment horizontal="center"/>
    </xf>
    <xf numFmtId="0" fontId="21" fillId="32" borderId="22" xfId="0" applyFont="1" applyFill="1" applyBorder="1" applyAlignment="1">
      <alignment horizontal="center"/>
    </xf>
    <xf numFmtId="0" fontId="28" fillId="0" borderId="18" xfId="0" applyFont="1" applyBorder="1" applyAlignment="1">
      <alignment horizontal="center" vertical="center"/>
    </xf>
    <xf numFmtId="0" fontId="16" fillId="0" borderId="20"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93" fillId="0" borderId="0" xfId="0" applyFont="1"/>
    <xf numFmtId="14" fontId="93" fillId="0" borderId="0" xfId="0" applyNumberFormat="1" applyFont="1"/>
    <xf numFmtId="1" fontId="25" fillId="65" borderId="20" xfId="0" applyNumberFormat="1" applyFont="1" applyFill="1" applyBorder="1" applyAlignment="1" applyProtection="1">
      <alignment horizontal="center" vertical="center"/>
      <protection locked="0"/>
    </xf>
    <xf numFmtId="1" fontId="25" fillId="65" borderId="0" xfId="0" applyNumberFormat="1" applyFont="1" applyFill="1" applyAlignment="1" applyProtection="1">
      <alignment horizontal="center" vertical="center"/>
      <protection locked="0"/>
    </xf>
    <xf numFmtId="0" fontId="16" fillId="0" borderId="26" xfId="0" applyFont="1" applyBorder="1" applyAlignment="1">
      <alignment horizontal="center" wrapText="1"/>
    </xf>
    <xf numFmtId="0" fontId="16" fillId="0" borderId="18" xfId="548" applyFont="1" applyBorder="1"/>
    <xf numFmtId="0" fontId="10" fillId="0" borderId="23" xfId="548" applyFont="1" applyBorder="1"/>
    <xf numFmtId="0" fontId="13" fillId="0" borderId="18" xfId="0" applyFont="1" applyBorder="1"/>
    <xf numFmtId="14" fontId="13" fillId="0" borderId="18" xfId="0" applyNumberFormat="1" applyFont="1" applyBorder="1" applyAlignment="1">
      <alignment horizontal="left"/>
    </xf>
    <xf numFmtId="0" fontId="13" fillId="0" borderId="18" xfId="0" applyFont="1" applyBorder="1" applyAlignment="1">
      <alignment horizontal="left"/>
    </xf>
    <xf numFmtId="0" fontId="25" fillId="0" borderId="18" xfId="0" applyFont="1" applyBorder="1"/>
    <xf numFmtId="0" fontId="51" fillId="0" borderId="0" xfId="0" applyFont="1"/>
    <xf numFmtId="0" fontId="10" fillId="0" borderId="23" xfId="0" applyFont="1" applyBorder="1" applyAlignment="1">
      <alignment wrapText="1"/>
    </xf>
    <xf numFmtId="0" fontId="16"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8" fillId="0" borderId="18" xfId="0" applyFont="1" applyBorder="1" applyAlignment="1">
      <alignment horizontal="center" wrapText="1"/>
    </xf>
    <xf numFmtId="0" fontId="94" fillId="0" borderId="0" xfId="0" applyFont="1"/>
    <xf numFmtId="0" fontId="20" fillId="0" borderId="0" xfId="0" applyFont="1" applyAlignment="1">
      <alignment vertical="center"/>
    </xf>
    <xf numFmtId="0" fontId="0" fillId="0" borderId="0" xfId="0" applyAlignment="1">
      <alignment horizontal="center" vertical="center"/>
    </xf>
    <xf numFmtId="0" fontId="7" fillId="0" borderId="0" xfId="548" applyFont="1" applyAlignment="1">
      <alignment horizontal="center" vertical="center"/>
    </xf>
    <xf numFmtId="0" fontId="7" fillId="0" borderId="0" xfId="0" applyFont="1" applyAlignment="1">
      <alignment horizontal="center" vertical="center"/>
    </xf>
    <xf numFmtId="0" fontId="13" fillId="0" borderId="0" xfId="0" applyFont="1" applyAlignment="1">
      <alignment horizontal="center" vertical="center"/>
    </xf>
    <xf numFmtId="0" fontId="25" fillId="0" borderId="0" xfId="0" applyFont="1" applyAlignment="1">
      <alignment horizontal="center"/>
    </xf>
    <xf numFmtId="0" fontId="12" fillId="68" borderId="20" xfId="0" applyFont="1" applyFill="1" applyBorder="1" applyAlignment="1">
      <alignment horizontal="center"/>
    </xf>
    <xf numFmtId="0" fontId="12" fillId="68" borderId="20" xfId="0" applyFont="1" applyFill="1" applyBorder="1" applyAlignment="1">
      <alignment horizontal="center" vertical="center"/>
    </xf>
    <xf numFmtId="0" fontId="25" fillId="68" borderId="20" xfId="0" applyFont="1" applyFill="1" applyBorder="1" applyAlignment="1">
      <alignment horizontal="center"/>
    </xf>
    <xf numFmtId="0" fontId="8" fillId="69" borderId="20" xfId="0" applyFont="1" applyFill="1" applyBorder="1" applyAlignment="1">
      <alignment horizontal="center"/>
    </xf>
    <xf numFmtId="0" fontId="0" fillId="69" borderId="20" xfId="0" applyFill="1" applyBorder="1" applyAlignment="1">
      <alignment horizontal="center"/>
    </xf>
    <xf numFmtId="0" fontId="0" fillId="69" borderId="20" xfId="0" applyFill="1" applyBorder="1" applyAlignment="1">
      <alignment horizontal="center" vertical="center"/>
    </xf>
    <xf numFmtId="14" fontId="0" fillId="69" borderId="20" xfId="0" applyNumberFormat="1" applyFill="1" applyBorder="1" applyAlignment="1">
      <alignment horizontal="center"/>
    </xf>
    <xf numFmtId="0" fontId="25" fillId="0" borderId="18" xfId="0" applyFont="1" applyBorder="1" applyAlignment="1">
      <alignment horizontal="center" vertical="center"/>
    </xf>
    <xf numFmtId="0" fontId="0" fillId="0" borderId="0" xfId="0" applyAlignment="1">
      <alignment vertical="center"/>
    </xf>
    <xf numFmtId="49" fontId="21" fillId="0" borderId="18" xfId="0" applyNumberFormat="1" applyFont="1" applyBorder="1" applyAlignment="1">
      <alignment horizontal="center" vertical="center"/>
    </xf>
    <xf numFmtId="9" fontId="21" fillId="0" borderId="18" xfId="425" applyFont="1" applyBorder="1" applyAlignment="1" applyProtection="1">
      <alignment horizontal="center" vertical="center"/>
    </xf>
    <xf numFmtId="1" fontId="21" fillId="0" borderId="18" xfId="0" applyNumberFormat="1" applyFont="1" applyBorder="1" applyAlignment="1">
      <alignment horizontal="center" vertical="center"/>
    </xf>
    <xf numFmtId="0" fontId="16" fillId="0" borderId="18" xfId="0" applyFont="1" applyBorder="1" applyAlignment="1">
      <alignment vertical="center"/>
    </xf>
    <xf numFmtId="0" fontId="21" fillId="0" borderId="18" xfId="425" applyNumberFormat="1" applyFont="1" applyFill="1" applyBorder="1" applyAlignment="1" applyProtection="1">
      <alignment horizontal="center" vertical="center"/>
    </xf>
    <xf numFmtId="0" fontId="21" fillId="0" borderId="18" xfId="425" applyNumberFormat="1" applyFont="1" applyBorder="1" applyAlignment="1" applyProtection="1">
      <alignment horizontal="center" vertical="center"/>
    </xf>
    <xf numFmtId="0" fontId="21" fillId="70" borderId="18" xfId="0" applyFont="1" applyFill="1" applyBorder="1" applyAlignment="1">
      <alignment horizontal="center" vertical="center"/>
    </xf>
    <xf numFmtId="9" fontId="21" fillId="70" borderId="18" xfId="425" applyFont="1" applyFill="1" applyBorder="1" applyAlignment="1" applyProtection="1">
      <alignment horizontal="center" vertical="center"/>
    </xf>
    <xf numFmtId="0" fontId="21" fillId="70" borderId="18" xfId="425" applyNumberFormat="1" applyFont="1" applyFill="1" applyBorder="1" applyAlignment="1" applyProtection="1">
      <alignment horizontal="center" vertical="center"/>
    </xf>
    <xf numFmtId="49" fontId="21" fillId="70" borderId="18" xfId="0" applyNumberFormat="1" applyFont="1" applyFill="1" applyBorder="1" applyAlignment="1">
      <alignment horizontal="center" vertical="center"/>
    </xf>
    <xf numFmtId="9" fontId="21" fillId="0" borderId="18" xfId="425" applyFont="1" applyFill="1" applyBorder="1" applyAlignment="1" applyProtection="1">
      <alignment horizontal="center" vertical="center"/>
    </xf>
    <xf numFmtId="9" fontId="21" fillId="27" borderId="18" xfId="425" applyFont="1" applyFill="1" applyBorder="1" applyAlignment="1" applyProtection="1">
      <alignment horizontal="center" vertical="center"/>
    </xf>
    <xf numFmtId="0" fontId="28" fillId="0" borderId="0" xfId="0" applyFont="1"/>
    <xf numFmtId="0" fontId="95" fillId="0" borderId="0" xfId="0" applyFont="1"/>
    <xf numFmtId="0" fontId="96" fillId="0" borderId="0" xfId="0" applyFont="1"/>
    <xf numFmtId="0" fontId="97" fillId="0" borderId="0" xfId="0" applyFont="1"/>
    <xf numFmtId="0" fontId="7" fillId="0" borderId="20" xfId="0" applyFont="1" applyBorder="1" applyAlignment="1">
      <alignment vertical="center" wrapText="1"/>
    </xf>
    <xf numFmtId="1" fontId="8" fillId="30" borderId="20" xfId="0" applyNumberFormat="1" applyFont="1" applyFill="1" applyBorder="1" applyAlignment="1">
      <alignment horizontal="center" vertical="center" wrapText="1"/>
    </xf>
    <xf numFmtId="1" fontId="8" fillId="65" borderId="20" xfId="0" applyNumberFormat="1" applyFont="1" applyFill="1" applyBorder="1" applyAlignment="1" applyProtection="1">
      <alignment horizontal="center" vertical="center"/>
      <protection locked="0"/>
    </xf>
    <xf numFmtId="0" fontId="21" fillId="31" borderId="21" xfId="0" applyFont="1" applyFill="1" applyBorder="1" applyAlignment="1">
      <alignment horizontal="center" vertical="center" wrapText="1"/>
    </xf>
    <xf numFmtId="0" fontId="21" fillId="32" borderId="21" xfId="0" applyFont="1" applyFill="1" applyBorder="1" applyAlignment="1">
      <alignment horizontal="center" vertical="center"/>
    </xf>
    <xf numFmtId="0" fontId="21" fillId="32" borderId="29" xfId="0" applyFont="1" applyFill="1" applyBorder="1" applyAlignment="1">
      <alignment horizontal="center" vertical="center"/>
    </xf>
    <xf numFmtId="0" fontId="21" fillId="0" borderId="0" xfId="0" applyFont="1" applyAlignment="1">
      <alignment vertical="center" wrapText="1"/>
    </xf>
    <xf numFmtId="0" fontId="98" fillId="0" borderId="25" xfId="0" applyFont="1" applyBorder="1" applyAlignment="1">
      <alignment horizontal="center" vertical="center"/>
    </xf>
    <xf numFmtId="0" fontId="98" fillId="0" borderId="18" xfId="0" applyFont="1" applyBorder="1" applyAlignment="1">
      <alignment horizontal="center" vertical="center"/>
    </xf>
    <xf numFmtId="0" fontId="98" fillId="0" borderId="0" xfId="0" applyFont="1" applyAlignment="1">
      <alignment horizontal="center" vertical="center"/>
    </xf>
    <xf numFmtId="167" fontId="98" fillId="0" borderId="25" xfId="425" applyNumberFormat="1" applyFont="1" applyBorder="1" applyAlignment="1" applyProtection="1">
      <alignment horizontal="center" vertical="center"/>
    </xf>
    <xf numFmtId="167" fontId="98" fillId="0" borderId="18" xfId="425" applyNumberFormat="1" applyFont="1" applyBorder="1" applyAlignment="1" applyProtection="1">
      <alignment horizontal="center" vertical="center"/>
    </xf>
    <xf numFmtId="167" fontId="98" fillId="0" borderId="18" xfId="0" applyNumberFormat="1" applyFont="1" applyBorder="1" applyAlignment="1">
      <alignment horizontal="center" vertical="center"/>
    </xf>
    <xf numFmtId="0" fontId="14" fillId="0" borderId="18" xfId="0" applyFont="1" applyBorder="1"/>
    <xf numFmtId="0" fontId="25" fillId="0" borderId="24" xfId="0" applyFont="1" applyBorder="1"/>
    <xf numFmtId="49" fontId="25" fillId="0" borderId="23" xfId="0" applyNumberFormat="1" applyFont="1" applyBorder="1"/>
    <xf numFmtId="0" fontId="25" fillId="0" borderId="23" xfId="0" applyFont="1" applyBorder="1"/>
    <xf numFmtId="167" fontId="25" fillId="0" borderId="24" xfId="0" applyNumberFormat="1" applyFont="1" applyBorder="1"/>
    <xf numFmtId="9" fontId="25" fillId="0" borderId="24" xfId="0" applyNumberFormat="1" applyFont="1" applyBorder="1"/>
    <xf numFmtId="2" fontId="25" fillId="0" borderId="24" xfId="0" applyNumberFormat="1" applyFont="1" applyBorder="1"/>
    <xf numFmtId="1" fontId="25" fillId="71" borderId="20" xfId="0" applyNumberFormat="1" applyFont="1" applyFill="1" applyBorder="1" applyAlignment="1">
      <alignment horizontal="center" vertical="center"/>
    </xf>
    <xf numFmtId="0" fontId="13" fillId="0" borderId="18" xfId="0" applyFont="1" applyBorder="1" applyAlignment="1">
      <alignment horizontal="center" vertical="center"/>
    </xf>
    <xf numFmtId="1" fontId="8" fillId="72" borderId="20" xfId="0" applyNumberFormat="1" applyFont="1" applyFill="1" applyBorder="1" applyAlignment="1" applyProtection="1">
      <alignment horizontal="center" vertical="center"/>
      <protection locked="0"/>
    </xf>
    <xf numFmtId="0" fontId="55" fillId="0" borderId="0" xfId="0" applyFont="1" applyAlignment="1">
      <alignment vertical="center"/>
    </xf>
    <xf numFmtId="0" fontId="14" fillId="0" borderId="18" xfId="0" applyFont="1" applyBorder="1" applyAlignment="1">
      <alignment horizontal="center" vertical="center"/>
    </xf>
    <xf numFmtId="0" fontId="16" fillId="0" borderId="18" xfId="0" applyFont="1" applyBorder="1" applyAlignment="1">
      <alignment horizontal="center" vertical="center"/>
    </xf>
    <xf numFmtId="0" fontId="99" fillId="0" borderId="0" xfId="0" applyFont="1"/>
    <xf numFmtId="0" fontId="21" fillId="0" borderId="0" xfId="0" applyFont="1" applyAlignment="1">
      <alignment horizontal="center"/>
    </xf>
    <xf numFmtId="0" fontId="100" fillId="0" borderId="0" xfId="0" applyFont="1"/>
    <xf numFmtId="0" fontId="98" fillId="0" borderId="18" xfId="0" applyFont="1" applyBorder="1" applyAlignment="1">
      <alignment horizontal="left" vertical="center"/>
    </xf>
    <xf numFmtId="14" fontId="98" fillId="0" borderId="18" xfId="0" applyNumberFormat="1"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vertical="top"/>
    </xf>
    <xf numFmtId="0" fontId="100" fillId="31" borderId="19" xfId="0" applyFont="1" applyFill="1" applyBorder="1" applyAlignment="1">
      <alignment horizontal="center"/>
    </xf>
    <xf numFmtId="0" fontId="21" fillId="0" borderId="41" xfId="0" applyFont="1" applyBorder="1" applyAlignment="1">
      <alignment horizontal="right"/>
    </xf>
    <xf numFmtId="0" fontId="32" fillId="0" borderId="0" xfId="0" applyFont="1" applyAlignment="1">
      <alignment vertical="top"/>
    </xf>
    <xf numFmtId="0" fontId="16" fillId="0" borderId="0" xfId="513" applyFont="1" applyAlignment="1">
      <alignment horizontal="left" vertical="center"/>
    </xf>
    <xf numFmtId="0" fontId="16" fillId="0" borderId="0" xfId="513" applyFont="1" applyAlignment="1">
      <alignment horizontal="left"/>
    </xf>
    <xf numFmtId="0" fontId="13" fillId="0" borderId="0" xfId="0" applyFont="1" applyAlignment="1">
      <alignment wrapText="1"/>
    </xf>
    <xf numFmtId="0" fontId="20" fillId="0" borderId="0" xfId="0" applyFont="1" applyAlignment="1">
      <alignment vertical="top"/>
    </xf>
    <xf numFmtId="0" fontId="28" fillId="0" borderId="18" xfId="523" applyFont="1" applyBorder="1" applyAlignment="1">
      <alignment vertical="center"/>
    </xf>
    <xf numFmtId="0" fontId="100" fillId="0" borderId="18" xfId="0" applyFont="1" applyBorder="1" applyAlignment="1">
      <alignment horizontal="left" vertical="center" wrapText="1"/>
    </xf>
    <xf numFmtId="0" fontId="21" fillId="0" borderId="29" xfId="0" applyFont="1" applyBorder="1" applyAlignment="1">
      <alignment horizontal="center" vertical="center"/>
    </xf>
    <xf numFmtId="0" fontId="25" fillId="0" borderId="0" xfId="0" applyFont="1" applyAlignment="1">
      <alignment vertical="center"/>
    </xf>
    <xf numFmtId="0" fontId="25" fillId="0" borderId="18" xfId="0" applyFont="1" applyBorder="1" applyAlignment="1">
      <alignment horizontal="center"/>
    </xf>
    <xf numFmtId="14" fontId="93" fillId="0" borderId="18" xfId="0" applyNumberFormat="1" applyFont="1" applyBorder="1" applyAlignment="1">
      <alignment horizontal="center"/>
    </xf>
    <xf numFmtId="0" fontId="93" fillId="0" borderId="18" xfId="0" applyFont="1" applyBorder="1"/>
    <xf numFmtId="0" fontId="93" fillId="0" borderId="18" xfId="0" applyFont="1" applyBorder="1" applyAlignment="1">
      <alignment horizontal="center" vertical="center"/>
    </xf>
    <xf numFmtId="14" fontId="93" fillId="0" borderId="18" xfId="0" quotePrefix="1" applyNumberFormat="1" applyFont="1" applyBorder="1" applyAlignment="1">
      <alignment horizontal="center"/>
    </xf>
    <xf numFmtId="0" fontId="13" fillId="0" borderId="18" xfId="0" quotePrefix="1" applyFont="1" applyBorder="1"/>
    <xf numFmtId="0" fontId="13" fillId="0" borderId="18" xfId="0" quotePrefix="1" applyFont="1" applyBorder="1" applyAlignment="1">
      <alignment horizontal="center" vertical="center"/>
    </xf>
    <xf numFmtId="1" fontId="16" fillId="0" borderId="18" xfId="0" applyNumberFormat="1" applyFont="1" applyBorder="1" applyAlignment="1">
      <alignment horizontal="center" vertical="center"/>
    </xf>
    <xf numFmtId="167" fontId="98" fillId="74" borderId="18" xfId="0" applyNumberFormat="1" applyFont="1" applyFill="1" applyBorder="1" applyAlignment="1">
      <alignment horizontal="center" vertical="center"/>
    </xf>
    <xf numFmtId="0" fontId="99" fillId="0" borderId="24" xfId="0" applyFont="1" applyBorder="1" applyAlignment="1">
      <alignment horizontal="left"/>
    </xf>
    <xf numFmtId="0" fontId="17" fillId="0" borderId="0" xfId="0" quotePrefix="1" applyFont="1"/>
    <xf numFmtId="0" fontId="17" fillId="0" borderId="0" xfId="0" applyFont="1" applyAlignment="1">
      <alignment horizontal="left"/>
    </xf>
    <xf numFmtId="10" fontId="13" fillId="0" borderId="0" xfId="0" applyNumberFormat="1" applyFont="1" applyAlignment="1">
      <alignment horizontal="left" vertical="center"/>
    </xf>
    <xf numFmtId="0" fontId="100" fillId="32" borderId="29" xfId="0" applyFont="1" applyFill="1" applyBorder="1" applyAlignment="1">
      <alignment horizontal="center" vertical="center"/>
    </xf>
    <xf numFmtId="0" fontId="7" fillId="0" borderId="23" xfId="0" applyFont="1" applyBorder="1" applyAlignment="1">
      <alignment horizontal="center" vertical="center" wrapText="1"/>
    </xf>
    <xf numFmtId="0" fontId="28" fillId="0" borderId="0" xfId="0" applyFont="1" applyAlignment="1">
      <alignment horizontal="left"/>
    </xf>
    <xf numFmtId="0" fontId="98" fillId="0" borderId="18" xfId="0" applyFont="1" applyBorder="1" applyAlignment="1">
      <alignment horizontal="left" vertical="center" wrapText="1"/>
    </xf>
    <xf numFmtId="166" fontId="98" fillId="75" borderId="18" xfId="0" applyNumberFormat="1" applyFont="1" applyFill="1" applyBorder="1" applyAlignment="1">
      <alignment horizontal="center" vertical="center"/>
    </xf>
    <xf numFmtId="1" fontId="98" fillId="75" borderId="18" xfId="0" applyNumberFormat="1" applyFont="1" applyFill="1" applyBorder="1" applyAlignment="1">
      <alignment horizontal="center" vertical="center"/>
    </xf>
    <xf numFmtId="0" fontId="103" fillId="0" borderId="0" xfId="0" applyFont="1" applyAlignment="1">
      <alignment vertical="center"/>
    </xf>
    <xf numFmtId="0" fontId="103" fillId="0" borderId="0" xfId="0" applyFont="1"/>
    <xf numFmtId="0" fontId="15" fillId="0" borderId="18" xfId="0" applyFont="1" applyBorder="1" applyAlignment="1">
      <alignment horizontal="left" vertical="center"/>
    </xf>
    <xf numFmtId="166" fontId="98" fillId="73" borderId="18" xfId="0" applyNumberFormat="1" applyFont="1" applyFill="1" applyBorder="1" applyAlignment="1">
      <alignment horizontal="center" vertical="center"/>
    </xf>
    <xf numFmtId="1" fontId="98" fillId="73" borderId="18" xfId="0" applyNumberFormat="1" applyFont="1" applyFill="1" applyBorder="1" applyAlignment="1">
      <alignment horizontal="center" vertical="center"/>
    </xf>
    <xf numFmtId="1" fontId="98" fillId="0" borderId="18" xfId="0" applyNumberFormat="1" applyFont="1" applyBorder="1" applyAlignment="1">
      <alignment horizontal="center" vertical="center"/>
    </xf>
    <xf numFmtId="0" fontId="21" fillId="0" borderId="18" xfId="0" applyFont="1" applyBorder="1" applyAlignment="1">
      <alignment horizontal="left" vertical="center"/>
    </xf>
    <xf numFmtId="0" fontId="14" fillId="0" borderId="23" xfId="0" applyFont="1" applyBorder="1" applyAlignment="1">
      <alignment horizontal="center" vertical="center"/>
    </xf>
    <xf numFmtId="0" fontId="15" fillId="0" borderId="23" xfId="0" applyFont="1" applyBorder="1" applyAlignment="1">
      <alignment horizontal="center" vertical="center" wrapText="1"/>
    </xf>
    <xf numFmtId="0" fontId="101" fillId="0" borderId="18" xfId="0" applyFont="1" applyBorder="1" applyAlignment="1">
      <alignment horizontal="center" vertical="center"/>
    </xf>
    <xf numFmtId="0" fontId="15" fillId="0" borderId="18" xfId="0" applyFont="1" applyBorder="1" applyAlignment="1">
      <alignment horizontal="center" vertical="center" wrapText="1"/>
    </xf>
    <xf numFmtId="0" fontId="20" fillId="0" borderId="18" xfId="0" applyFont="1" applyBorder="1"/>
    <xf numFmtId="49" fontId="21" fillId="76" borderId="38" xfId="0" applyNumberFormat="1" applyFont="1" applyFill="1" applyBorder="1" applyAlignment="1">
      <alignment horizontal="center" vertical="center" wrapText="1"/>
    </xf>
    <xf numFmtId="0" fontId="21" fillId="0" borderId="25" xfId="0" applyFont="1" applyBorder="1" applyAlignment="1">
      <alignment horizontal="center" vertical="center"/>
    </xf>
    <xf numFmtId="0" fontId="16" fillId="0" borderId="23" xfId="0" applyFont="1" applyBorder="1" applyAlignment="1">
      <alignment vertical="center"/>
    </xf>
    <xf numFmtId="49" fontId="21" fillId="76" borderId="44" xfId="0" applyNumberFormat="1" applyFont="1" applyFill="1" applyBorder="1" applyAlignment="1">
      <alignment horizontal="center" vertical="center" wrapText="1"/>
    </xf>
    <xf numFmtId="0" fontId="21" fillId="67" borderId="45" xfId="0" applyFont="1" applyFill="1" applyBorder="1" applyAlignment="1">
      <alignment horizontal="center" vertical="center" wrapText="1"/>
    </xf>
    <xf numFmtId="0" fontId="21" fillId="77" borderId="46" xfId="0" applyFont="1" applyFill="1" applyBorder="1" applyAlignment="1">
      <alignment horizontal="center" vertical="center" wrapText="1"/>
    </xf>
    <xf numFmtId="0" fontId="21" fillId="77" borderId="45" xfId="0" applyFont="1" applyFill="1" applyBorder="1" applyAlignment="1">
      <alignment horizontal="center" vertical="center" wrapText="1"/>
    </xf>
    <xf numFmtId="0" fontId="21" fillId="77" borderId="47" xfId="0" applyFont="1" applyFill="1" applyBorder="1" applyAlignment="1">
      <alignment horizontal="center" vertical="center" wrapText="1"/>
    </xf>
    <xf numFmtId="0" fontId="57" fillId="0" borderId="0" xfId="0" applyFont="1" applyAlignment="1">
      <alignment vertical="center"/>
    </xf>
    <xf numFmtId="0" fontId="100" fillId="0" borderId="0" xfId="0" applyFont="1" applyAlignment="1">
      <alignment vertical="center"/>
    </xf>
    <xf numFmtId="0" fontId="21" fillId="0" borderId="48" xfId="0" applyFont="1" applyBorder="1" applyAlignment="1">
      <alignment horizontal="center" vertical="center"/>
    </xf>
    <xf numFmtId="0" fontId="16" fillId="0" borderId="49" xfId="0" applyFont="1" applyBorder="1" applyAlignment="1">
      <alignment vertical="center"/>
    </xf>
    <xf numFmtId="0" fontId="21" fillId="0" borderId="32" xfId="0" applyFont="1" applyBorder="1" applyAlignment="1">
      <alignment horizontal="center" vertical="center"/>
    </xf>
    <xf numFmtId="0" fontId="16" fillId="0" borderId="50" xfId="0" applyFont="1" applyBorder="1" applyAlignment="1">
      <alignment vertical="center"/>
    </xf>
    <xf numFmtId="0" fontId="16" fillId="0" borderId="51" xfId="0" applyFont="1" applyBorder="1" applyAlignment="1">
      <alignment vertical="center"/>
    </xf>
    <xf numFmtId="0" fontId="21" fillId="0" borderId="52" xfId="0" applyFont="1" applyBorder="1" applyAlignment="1">
      <alignment vertical="center"/>
    </xf>
    <xf numFmtId="0" fontId="21" fillId="0" borderId="53"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100" fillId="0" borderId="0" xfId="0" applyFont="1" applyAlignment="1">
      <alignment horizontal="left"/>
    </xf>
    <xf numFmtId="0" fontId="100" fillId="0" borderId="0" xfId="0" applyFont="1" applyAlignment="1">
      <alignment horizontal="center"/>
    </xf>
    <xf numFmtId="0" fontId="21" fillId="0" borderId="18" xfId="0" applyFont="1" applyBorder="1" applyAlignment="1">
      <alignment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1" fillId="0" borderId="36" xfId="0" applyFont="1" applyBorder="1" applyAlignment="1">
      <alignment horizontal="center" vertical="center"/>
    </xf>
    <xf numFmtId="0" fontId="21" fillId="78" borderId="18" xfId="0" applyFont="1" applyFill="1" applyBorder="1" applyAlignment="1">
      <alignment horizontal="right" vertical="center"/>
    </xf>
    <xf numFmtId="0" fontId="21" fillId="79" borderId="18" xfId="0" applyFont="1" applyFill="1" applyBorder="1" applyAlignment="1">
      <alignment horizontal="right" vertical="center"/>
    </xf>
    <xf numFmtId="0" fontId="21" fillId="80" borderId="18" xfId="0" applyFont="1" applyFill="1" applyBorder="1" applyAlignment="1">
      <alignment horizontal="right" vertical="center"/>
    </xf>
    <xf numFmtId="0" fontId="100" fillId="80" borderId="18" xfId="0" applyFont="1" applyFill="1" applyBorder="1" applyAlignment="1">
      <alignment horizontal="right" vertical="center"/>
    </xf>
    <xf numFmtId="0" fontId="21" fillId="78" borderId="18" xfId="0" applyFont="1" applyFill="1" applyBorder="1" applyAlignment="1">
      <alignment horizontal="center" vertical="center"/>
    </xf>
    <xf numFmtId="0" fontId="21" fillId="79" borderId="18" xfId="0" applyFont="1" applyFill="1" applyBorder="1" applyAlignment="1">
      <alignment horizontal="center" vertical="center"/>
    </xf>
    <xf numFmtId="0" fontId="100" fillId="80" borderId="18" xfId="0" applyFont="1" applyFill="1" applyBorder="1" applyAlignment="1">
      <alignment horizontal="center" vertical="center"/>
    </xf>
    <xf numFmtId="0" fontId="76" fillId="0" borderId="18" xfId="0" applyFont="1" applyBorder="1" applyAlignment="1">
      <alignment horizontal="center" vertical="center" wrapText="1"/>
    </xf>
    <xf numFmtId="0" fontId="97" fillId="0" borderId="18" xfId="0" applyFont="1" applyBorder="1" applyAlignment="1">
      <alignment horizontal="center" vertical="center" wrapText="1"/>
    </xf>
    <xf numFmtId="0" fontId="97" fillId="0" borderId="18" xfId="0" applyFont="1" applyBorder="1" applyAlignment="1">
      <alignment horizontal="center" vertical="center"/>
    </xf>
    <xf numFmtId="0" fontId="21" fillId="0" borderId="57" xfId="0" applyFont="1" applyBorder="1" applyAlignment="1">
      <alignment horizontal="center" vertical="center"/>
    </xf>
    <xf numFmtId="0" fontId="21" fillId="0" borderId="34" xfId="0" applyFont="1" applyBorder="1" applyAlignment="1">
      <alignment horizontal="center" vertical="center"/>
    </xf>
    <xf numFmtId="0" fontId="21" fillId="0" borderId="58" xfId="0" applyFont="1" applyBorder="1" applyAlignment="1">
      <alignment horizontal="center" vertical="center"/>
    </xf>
    <xf numFmtId="0" fontId="21" fillId="0" borderId="26" xfId="0" applyFont="1" applyBorder="1" applyAlignment="1">
      <alignment horizontal="center" vertical="center"/>
    </xf>
    <xf numFmtId="0" fontId="100" fillId="0" borderId="59" xfId="0" applyFont="1" applyBorder="1" applyAlignment="1">
      <alignment vertical="center"/>
    </xf>
    <xf numFmtId="0" fontId="13" fillId="0" borderId="18" xfId="0" applyFont="1" applyBorder="1" applyAlignment="1">
      <alignment horizontal="left"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9" fontId="14" fillId="0" borderId="18" xfId="425" applyFont="1" applyBorder="1" applyAlignment="1" applyProtection="1">
      <alignment horizontal="left" vertical="center"/>
    </xf>
    <xf numFmtId="0" fontId="14" fillId="0" borderId="18" xfId="0" applyFont="1" applyBorder="1" applyAlignment="1">
      <alignment vertical="center"/>
    </xf>
    <xf numFmtId="167" fontId="14" fillId="0" borderId="18" xfId="0" applyNumberFormat="1" applyFont="1" applyBorder="1" applyAlignment="1">
      <alignment horizontal="left" vertical="center"/>
    </xf>
    <xf numFmtId="0" fontId="98" fillId="0" borderId="0" xfId="0" applyFont="1" applyAlignment="1">
      <alignment vertical="center"/>
    </xf>
    <xf numFmtId="0" fontId="14" fillId="0" borderId="23" xfId="0" applyFont="1" applyBorder="1" applyAlignment="1">
      <alignment vertical="center" wrapText="1"/>
    </xf>
    <xf numFmtId="0" fontId="14" fillId="0" borderId="18" xfId="0" applyFont="1" applyBorder="1" applyAlignment="1">
      <alignment horizontal="left" vertical="center"/>
    </xf>
    <xf numFmtId="0" fontId="15" fillId="0" borderId="18" xfId="0" applyFont="1" applyBorder="1" applyAlignment="1">
      <alignment vertical="center"/>
    </xf>
    <xf numFmtId="0" fontId="98" fillId="0" borderId="23" xfId="0" applyFont="1" applyBorder="1" applyAlignment="1">
      <alignment vertical="center" wrapText="1"/>
    </xf>
    <xf numFmtId="0" fontId="98" fillId="0" borderId="24" xfId="0" applyFont="1" applyBorder="1" applyAlignment="1">
      <alignment vertical="center"/>
    </xf>
    <xf numFmtId="0" fontId="98" fillId="0" borderId="18" xfId="0" applyFont="1" applyBorder="1" applyAlignment="1">
      <alignment vertical="center" wrapText="1"/>
    </xf>
    <xf numFmtId="9" fontId="98" fillId="0" borderId="18" xfId="425" applyFont="1" applyBorder="1" applyAlignment="1" applyProtection="1">
      <alignment horizontal="center" vertical="center"/>
    </xf>
    <xf numFmtId="0" fontId="98" fillId="0" borderId="18" xfId="0" applyFont="1" applyBorder="1" applyAlignment="1">
      <alignment vertical="center"/>
    </xf>
    <xf numFmtId="9" fontId="98" fillId="0" borderId="18" xfId="0" applyNumberFormat="1" applyFont="1" applyBorder="1" applyAlignment="1">
      <alignment horizontal="center" vertical="center"/>
    </xf>
    <xf numFmtId="167" fontId="98" fillId="0" borderId="25" xfId="425" applyNumberFormat="1" applyFont="1" applyFill="1" applyBorder="1" applyAlignment="1" applyProtection="1">
      <alignment horizontal="center" vertical="center"/>
    </xf>
    <xf numFmtId="0" fontId="98" fillId="0" borderId="23" xfId="0" applyFont="1" applyBorder="1" applyAlignment="1">
      <alignment vertical="center"/>
    </xf>
    <xf numFmtId="0" fontId="98" fillId="0" borderId="24" xfId="0" applyFont="1" applyBorder="1" applyAlignment="1">
      <alignment horizontal="left" vertical="center"/>
    </xf>
    <xf numFmtId="0" fontId="98" fillId="74" borderId="24" xfId="0" applyFont="1" applyFill="1" applyBorder="1" applyAlignment="1">
      <alignment horizontal="left" vertical="center"/>
    </xf>
    <xf numFmtId="0" fontId="98" fillId="0" borderId="0" xfId="0" applyFont="1" applyAlignment="1">
      <alignment horizontal="left" vertical="center"/>
    </xf>
    <xf numFmtId="0" fontId="58" fillId="0" borderId="0" xfId="0" applyFont="1" applyAlignment="1">
      <alignment vertical="center"/>
    </xf>
    <xf numFmtId="0" fontId="94" fillId="0" borderId="0" xfId="0" applyFont="1" applyAlignment="1">
      <alignment vertical="center"/>
    </xf>
    <xf numFmtId="0" fontId="58" fillId="0" borderId="0" xfId="0" applyFont="1"/>
    <xf numFmtId="4" fontId="16" fillId="0" borderId="18" xfId="0" applyNumberFormat="1" applyFont="1" applyBorder="1" applyAlignment="1">
      <alignment horizontal="center" vertical="center"/>
    </xf>
    <xf numFmtId="10" fontId="21" fillId="0" borderId="20" xfId="0" applyNumberFormat="1" applyFont="1" applyBorder="1" applyAlignment="1">
      <alignment horizontal="center" vertical="center"/>
    </xf>
    <xf numFmtId="10" fontId="25" fillId="27" borderId="20" xfId="425" applyNumberFormat="1" applyFont="1" applyFill="1" applyBorder="1" applyAlignment="1" applyProtection="1">
      <alignment horizontal="center" vertical="center" wrapText="1"/>
    </xf>
    <xf numFmtId="10" fontId="8" fillId="27" borderId="20" xfId="425" applyNumberFormat="1" applyFont="1" applyFill="1" applyBorder="1" applyAlignment="1" applyProtection="1">
      <alignment horizontal="center" vertical="center" wrapText="1"/>
    </xf>
    <xf numFmtId="0" fontId="10" fillId="0" borderId="0" xfId="548" applyFont="1"/>
    <xf numFmtId="0" fontId="16" fillId="0" borderId="0" xfId="0" applyFont="1" applyAlignment="1">
      <alignment horizontal="center" vertical="center"/>
    </xf>
    <xf numFmtId="0" fontId="7" fillId="0" borderId="0" xfId="548" applyFont="1" applyAlignment="1">
      <alignment horizontal="left"/>
    </xf>
    <xf numFmtId="0" fontId="7" fillId="0" borderId="0" xfId="0" applyFont="1" applyAlignment="1">
      <alignment horizontal="left"/>
    </xf>
    <xf numFmtId="0" fontId="7" fillId="0" borderId="0" xfId="0" applyFont="1" applyAlignment="1">
      <alignment horizontal="left" vertical="center"/>
    </xf>
    <xf numFmtId="0" fontId="13" fillId="0" borderId="0" xfId="0" applyFont="1" applyAlignment="1">
      <alignment horizontal="left"/>
    </xf>
    <xf numFmtId="0" fontId="13" fillId="0" borderId="0" xfId="0" applyFont="1" applyAlignment="1">
      <alignment horizontal="left" vertical="center"/>
    </xf>
    <xf numFmtId="0" fontId="93" fillId="0" borderId="0" xfId="0" applyFont="1" applyAlignment="1">
      <alignment horizontal="left"/>
    </xf>
    <xf numFmtId="0" fontId="59" fillId="0" borderId="44" xfId="0" applyFont="1" applyBorder="1" applyAlignment="1">
      <alignment horizontal="center" vertical="center" wrapText="1" readingOrder="1"/>
    </xf>
    <xf numFmtId="0" fontId="59" fillId="0" borderId="28" xfId="0" applyFont="1" applyBorder="1" applyAlignment="1">
      <alignment horizontal="center" vertical="center" wrapText="1" readingOrder="1"/>
    </xf>
    <xf numFmtId="0" fontId="59" fillId="0" borderId="38" xfId="0" applyFont="1" applyBorder="1" applyAlignment="1">
      <alignment horizontal="center" vertical="center" wrapText="1" readingOrder="1"/>
    </xf>
    <xf numFmtId="0" fontId="93" fillId="0" borderId="22" xfId="0" applyFont="1" applyBorder="1" applyAlignment="1">
      <alignment horizontal="center" vertical="center" wrapText="1"/>
    </xf>
    <xf numFmtId="0" fontId="25" fillId="0" borderId="38" xfId="0" applyFont="1" applyBorder="1" applyAlignment="1">
      <alignment horizontal="center" vertical="center" wrapText="1"/>
    </xf>
    <xf numFmtId="0" fontId="13" fillId="0" borderId="0" xfId="0" applyFont="1" applyAlignment="1">
      <alignment vertical="top"/>
    </xf>
    <xf numFmtId="0" fontId="13" fillId="0" borderId="0" xfId="0" applyFont="1" applyAlignment="1">
      <alignment horizontal="center" vertical="center" wrapText="1"/>
    </xf>
    <xf numFmtId="0" fontId="13" fillId="0" borderId="0" xfId="0" applyFont="1" applyAlignment="1">
      <alignment horizontal="left" vertical="center" wrapText="1"/>
    </xf>
    <xf numFmtId="0" fontId="32" fillId="0" borderId="0" xfId="0" applyFont="1" applyAlignment="1">
      <alignment horizontal="left" vertical="center"/>
    </xf>
    <xf numFmtId="0" fontId="21" fillId="81" borderId="0" xfId="0" applyFont="1" applyFill="1" applyAlignment="1">
      <alignment horizontal="center" vertical="center"/>
    </xf>
    <xf numFmtId="167" fontId="98" fillId="0" borderId="18" xfId="425" applyNumberFormat="1" applyFont="1" applyFill="1" applyBorder="1" applyAlignment="1" applyProtection="1">
      <alignment horizontal="center" vertical="center"/>
    </xf>
    <xf numFmtId="167" fontId="15" fillId="0" borderId="18" xfId="433" applyNumberFormat="1" applyFont="1" applyFill="1" applyBorder="1" applyAlignment="1" applyProtection="1">
      <alignment horizontal="center" vertical="center"/>
    </xf>
    <xf numFmtId="167" fontId="98" fillId="0" borderId="0" xfId="0" applyNumberFormat="1" applyFont="1" applyAlignment="1">
      <alignment horizontal="center" vertical="center"/>
    </xf>
    <xf numFmtId="167" fontId="15" fillId="74" borderId="18" xfId="433" applyNumberFormat="1" applyFont="1" applyFill="1" applyBorder="1" applyAlignment="1" applyProtection="1">
      <alignment horizontal="center" vertical="center"/>
    </xf>
    <xf numFmtId="167" fontId="98" fillId="0" borderId="0" xfId="425" applyNumberFormat="1" applyFont="1" applyFill="1" applyBorder="1" applyAlignment="1" applyProtection="1">
      <alignment horizontal="center" vertical="center"/>
    </xf>
    <xf numFmtId="10" fontId="13" fillId="0" borderId="0" xfId="0" applyNumberFormat="1" applyFont="1" applyAlignment="1">
      <alignment horizontal="center" vertical="center" wrapText="1"/>
    </xf>
    <xf numFmtId="9" fontId="13" fillId="0" borderId="0" xfId="0" applyNumberFormat="1" applyFont="1" applyAlignment="1">
      <alignment horizontal="center" vertical="center" wrapText="1"/>
    </xf>
    <xf numFmtId="0" fontId="21" fillId="0" borderId="62"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5" xfId="0" applyFont="1" applyBorder="1" applyAlignment="1">
      <alignment horizontal="center" vertical="center"/>
    </xf>
    <xf numFmtId="167" fontId="98" fillId="0" borderId="18" xfId="427" applyNumberFormat="1" applyFont="1" applyBorder="1" applyAlignment="1" applyProtection="1">
      <alignment horizontal="right" vertical="center"/>
    </xf>
    <xf numFmtId="0" fontId="103" fillId="0" borderId="0" xfId="0" applyFont="1" applyAlignment="1">
      <alignment horizontal="center" vertical="center"/>
    </xf>
    <xf numFmtId="0" fontId="21" fillId="81" borderId="18" xfId="0" applyFont="1" applyFill="1" applyBorder="1" applyAlignment="1">
      <alignment horizontal="center" vertical="center"/>
    </xf>
    <xf numFmtId="0" fontId="100" fillId="81" borderId="18" xfId="0" applyFont="1" applyFill="1" applyBorder="1" applyAlignment="1">
      <alignment horizontal="center" vertical="center"/>
    </xf>
    <xf numFmtId="2" fontId="98" fillId="0" borderId="18" xfId="0" applyNumberFormat="1" applyFont="1" applyBorder="1" applyAlignment="1">
      <alignment horizontal="center" vertical="center"/>
    </xf>
    <xf numFmtId="0" fontId="16" fillId="65" borderId="20" xfId="0" applyFont="1" applyFill="1" applyBorder="1" applyAlignment="1" applyProtection="1">
      <alignment horizontal="center" vertical="center"/>
      <protection locked="0"/>
    </xf>
    <xf numFmtId="0" fontId="16" fillId="65" borderId="44" xfId="0" applyFont="1" applyFill="1" applyBorder="1" applyAlignment="1" applyProtection="1">
      <alignment horizontal="center" vertical="center"/>
      <protection locked="0"/>
    </xf>
    <xf numFmtId="0" fontId="16" fillId="65" borderId="33" xfId="0" applyFont="1" applyFill="1" applyBorder="1" applyAlignment="1" applyProtection="1">
      <alignment horizontal="center" vertical="center"/>
      <protection locked="0"/>
    </xf>
    <xf numFmtId="10" fontId="16" fillId="0" borderId="20" xfId="0" applyNumberFormat="1" applyFont="1" applyBorder="1" applyAlignment="1">
      <alignment horizontal="center" vertical="center"/>
    </xf>
    <xf numFmtId="10" fontId="16" fillId="0" borderId="44" xfId="0" applyNumberFormat="1" applyFont="1" applyBorder="1" applyAlignment="1">
      <alignment horizontal="center" vertical="center"/>
    </xf>
    <xf numFmtId="0" fontId="13" fillId="0" borderId="0" xfId="0" applyFont="1" applyAlignment="1">
      <alignment vertical="center" wrapText="1"/>
    </xf>
    <xf numFmtId="0" fontId="63" fillId="0" borderId="0" xfId="0" applyFont="1" applyAlignment="1">
      <alignment vertical="center"/>
    </xf>
    <xf numFmtId="49" fontId="21" fillId="76" borderId="28" xfId="0" applyNumberFormat="1" applyFont="1" applyFill="1" applyBorder="1" applyAlignment="1">
      <alignment horizontal="center" vertical="center" wrapText="1"/>
    </xf>
    <xf numFmtId="0" fontId="21" fillId="0" borderId="63" xfId="0" applyFont="1" applyBorder="1" applyAlignment="1">
      <alignment horizontal="center" vertical="center"/>
    </xf>
    <xf numFmtId="0" fontId="21" fillId="0" borderId="39" xfId="0" applyFont="1" applyBorder="1" applyAlignment="1">
      <alignment horizontal="center" vertical="center"/>
    </xf>
    <xf numFmtId="0" fontId="16" fillId="0" borderId="52" xfId="0" applyFont="1" applyBorder="1" applyAlignment="1">
      <alignment vertical="center"/>
    </xf>
    <xf numFmtId="0" fontId="16" fillId="0" borderId="53" xfId="0" applyFont="1" applyBorder="1" applyAlignment="1">
      <alignment vertical="center" wrapText="1"/>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44" xfId="0" applyFont="1" applyBorder="1" applyAlignment="1">
      <alignment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16" fillId="0" borderId="67" xfId="0" applyFont="1" applyBorder="1" applyAlignment="1">
      <alignment horizontal="left" vertical="center"/>
    </xf>
    <xf numFmtId="0" fontId="21" fillId="0" borderId="38" xfId="0" applyFont="1" applyBorder="1" applyAlignment="1">
      <alignment vertical="center"/>
    </xf>
    <xf numFmtId="0" fontId="21" fillId="0" borderId="68" xfId="0" applyFont="1" applyBorder="1" applyAlignment="1">
      <alignment horizontal="center" vertical="center"/>
    </xf>
    <xf numFmtId="0" fontId="16" fillId="0" borderId="33" xfId="0" applyFont="1" applyBorder="1" applyAlignment="1">
      <alignment horizontal="center" vertical="center"/>
    </xf>
    <xf numFmtId="0" fontId="21" fillId="0" borderId="60" xfId="0" applyFont="1" applyBorder="1" applyAlignment="1">
      <alignment horizontal="center" vertical="center"/>
    </xf>
    <xf numFmtId="0" fontId="21" fillId="0" borderId="22" xfId="0" applyFont="1" applyBorder="1" applyAlignment="1">
      <alignment horizontal="center" vertical="center"/>
    </xf>
    <xf numFmtId="0" fontId="21" fillId="0" borderId="42" xfId="0" applyFont="1" applyBorder="1" applyAlignment="1">
      <alignment horizontal="center" vertical="center"/>
    </xf>
    <xf numFmtId="0" fontId="16" fillId="0" borderId="69" xfId="0" applyFont="1" applyBorder="1" applyAlignment="1">
      <alignment vertical="center" wrapText="1"/>
    </xf>
    <xf numFmtId="0" fontId="21" fillId="0" borderId="69" xfId="0" applyFont="1" applyBorder="1" applyAlignment="1">
      <alignment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6" fillId="0" borderId="44" xfId="0" applyFont="1" applyBorder="1" applyAlignment="1">
      <alignment horizontal="left" vertical="center"/>
    </xf>
    <xf numFmtId="0" fontId="16" fillId="65" borderId="0" xfId="0" applyFont="1" applyFill="1" applyAlignment="1" applyProtection="1">
      <alignment horizontal="center" vertical="center"/>
      <protection locked="0"/>
    </xf>
    <xf numFmtId="10" fontId="16" fillId="0" borderId="28" xfId="0" applyNumberFormat="1" applyFont="1" applyBorder="1" applyAlignment="1">
      <alignment horizontal="center" vertical="center"/>
    </xf>
    <xf numFmtId="0" fontId="16" fillId="0" borderId="73" xfId="0" applyFont="1" applyBorder="1" applyAlignment="1">
      <alignment horizontal="center" textRotation="90" wrapText="1"/>
    </xf>
    <xf numFmtId="0" fontId="16" fillId="0" borderId="74" xfId="0" applyFont="1" applyBorder="1" applyAlignment="1">
      <alignment textRotation="90" wrapText="1"/>
    </xf>
    <xf numFmtId="0" fontId="10" fillId="27" borderId="75" xfId="0" applyFont="1" applyFill="1" applyBorder="1" applyAlignment="1">
      <alignment horizontal="center" vertical="center" wrapText="1"/>
    </xf>
    <xf numFmtId="0" fontId="16" fillId="0" borderId="77" xfId="0" applyFont="1" applyBorder="1" applyAlignment="1">
      <alignment horizontal="center" textRotation="255" wrapText="1"/>
    </xf>
    <xf numFmtId="0" fontId="16" fillId="0" borderId="78" xfId="0" applyFont="1" applyBorder="1" applyAlignment="1">
      <alignment horizontal="center" vertical="center" wrapText="1"/>
    </xf>
    <xf numFmtId="0" fontId="16" fillId="0" borderId="79" xfId="0" applyFont="1" applyBorder="1" applyAlignment="1">
      <alignment horizontal="center" vertical="center"/>
    </xf>
    <xf numFmtId="10" fontId="16" fillId="0" borderId="80" xfId="0" applyNumberFormat="1" applyFont="1" applyBorder="1" applyAlignment="1">
      <alignment horizontal="center" vertical="center"/>
    </xf>
    <xf numFmtId="0" fontId="16" fillId="0" borderId="81" xfId="0" applyFont="1" applyBorder="1" applyAlignment="1">
      <alignment horizontal="center" vertical="center"/>
    </xf>
    <xf numFmtId="10" fontId="16" fillId="0" borderId="82" xfId="0" applyNumberFormat="1" applyFont="1" applyBorder="1" applyAlignment="1">
      <alignment horizontal="center" vertical="center"/>
    </xf>
    <xf numFmtId="0" fontId="16" fillId="0" borderId="83" xfId="0" applyFont="1" applyBorder="1" applyAlignment="1">
      <alignment horizontal="center" vertical="center"/>
    </xf>
    <xf numFmtId="0" fontId="16" fillId="0" borderId="84" xfId="0" applyFont="1" applyBorder="1" applyAlignment="1">
      <alignment horizontal="center" vertical="center"/>
    </xf>
    <xf numFmtId="0" fontId="16" fillId="65" borderId="85" xfId="0" applyFont="1" applyFill="1" applyBorder="1" applyAlignment="1" applyProtection="1">
      <alignment horizontal="center" vertical="center"/>
      <protection locked="0"/>
    </xf>
    <xf numFmtId="0" fontId="16" fillId="65" borderId="84" xfId="0" applyFont="1" applyFill="1" applyBorder="1" applyAlignment="1" applyProtection="1">
      <alignment horizontal="center" vertical="center"/>
      <protection locked="0"/>
    </xf>
    <xf numFmtId="10" fontId="16" fillId="0" borderId="85" xfId="0" applyNumberFormat="1" applyFont="1" applyBorder="1" applyAlignment="1">
      <alignment horizontal="center" vertical="center"/>
    </xf>
    <xf numFmtId="10" fontId="16" fillId="0" borderId="86" xfId="0" applyNumberFormat="1" applyFont="1" applyBorder="1" applyAlignment="1">
      <alignment horizontal="center" vertical="center"/>
    </xf>
    <xf numFmtId="9" fontId="16" fillId="82" borderId="18" xfId="425" applyFont="1" applyFill="1" applyBorder="1" applyAlignment="1" applyProtection="1">
      <alignment horizontal="center" vertical="center"/>
    </xf>
    <xf numFmtId="0" fontId="16" fillId="82" borderId="18" xfId="0" applyFont="1" applyFill="1" applyBorder="1" applyAlignment="1">
      <alignment horizontal="center" vertical="center"/>
    </xf>
    <xf numFmtId="49" fontId="16" fillId="82" borderId="18" xfId="0" applyNumberFormat="1" applyFont="1" applyFill="1" applyBorder="1" applyAlignment="1">
      <alignment horizontal="center" vertical="center"/>
    </xf>
    <xf numFmtId="14" fontId="93" fillId="81" borderId="18" xfId="0" applyNumberFormat="1" applyFont="1" applyFill="1" applyBorder="1" applyAlignment="1">
      <alignment horizontal="left" vertical="center"/>
    </xf>
    <xf numFmtId="0" fontId="52" fillId="0" borderId="0" xfId="0" applyFont="1"/>
    <xf numFmtId="0" fontId="95" fillId="70" borderId="0" xfId="0" applyFont="1" applyFill="1"/>
    <xf numFmtId="0" fontId="95" fillId="0" borderId="0" xfId="0" applyFont="1" applyAlignment="1">
      <alignment horizontal="left"/>
    </xf>
    <xf numFmtId="1" fontId="25" fillId="71" borderId="38" xfId="0" applyNumberFormat="1" applyFont="1" applyFill="1" applyBorder="1" applyAlignment="1">
      <alignment horizontal="center" vertical="center"/>
    </xf>
    <xf numFmtId="0" fontId="16" fillId="81" borderId="0" xfId="548" applyFont="1" applyFill="1"/>
    <xf numFmtId="0" fontId="95" fillId="0" borderId="0" xfId="0" applyFont="1" applyAlignment="1">
      <alignment vertical="top" wrapText="1"/>
    </xf>
    <xf numFmtId="0" fontId="95" fillId="70" borderId="0" xfId="0" applyFont="1" applyFill="1" applyAlignment="1">
      <alignment vertical="top" wrapText="1"/>
    </xf>
    <xf numFmtId="1" fontId="31" fillId="0" borderId="0" xfId="0" applyNumberFormat="1" applyFont="1"/>
    <xf numFmtId="0" fontId="16" fillId="65" borderId="38" xfId="0" applyFont="1" applyFill="1" applyBorder="1" applyAlignment="1" applyProtection="1">
      <alignment horizontal="center" vertical="center"/>
      <protection locked="0"/>
    </xf>
    <xf numFmtId="0" fontId="16" fillId="70" borderId="18" xfId="0" applyFont="1" applyFill="1" applyBorder="1" applyAlignment="1">
      <alignment horizontal="center" vertical="center"/>
    </xf>
    <xf numFmtId="0" fontId="99" fillId="0" borderId="40" xfId="0" applyFont="1" applyBorder="1" applyAlignment="1">
      <alignment horizontal="center" vertical="center" wrapText="1"/>
    </xf>
    <xf numFmtId="0" fontId="99" fillId="0" borderId="41" xfId="0" applyFont="1" applyBorder="1" applyAlignment="1">
      <alignment horizontal="center" vertical="center" wrapText="1"/>
    </xf>
    <xf numFmtId="0" fontId="98" fillId="81" borderId="18" xfId="0" applyFont="1" applyFill="1" applyBorder="1" applyAlignment="1">
      <alignment horizontal="center" vertical="center"/>
    </xf>
    <xf numFmtId="0" fontId="100" fillId="74" borderId="0" xfId="0" applyFont="1" applyFill="1" applyAlignment="1">
      <alignment vertical="center"/>
    </xf>
    <xf numFmtId="0" fontId="21" fillId="74" borderId="38" xfId="0" applyFont="1" applyFill="1" applyBorder="1" applyAlignment="1">
      <alignment horizontal="center" vertical="center" wrapText="1"/>
    </xf>
    <xf numFmtId="0" fontId="21" fillId="74" borderId="62" xfId="0" applyFont="1" applyFill="1" applyBorder="1" applyAlignment="1">
      <alignment horizontal="center" vertical="center"/>
    </xf>
    <xf numFmtId="0" fontId="21" fillId="74" borderId="55" xfId="0" applyFont="1" applyFill="1" applyBorder="1" applyAlignment="1">
      <alignment horizontal="center" vertical="center"/>
    </xf>
    <xf numFmtId="0" fontId="21" fillId="74" borderId="63" xfId="0" applyFont="1" applyFill="1" applyBorder="1" applyAlignment="1">
      <alignment horizontal="center" vertical="center"/>
    </xf>
    <xf numFmtId="0" fontId="16" fillId="74" borderId="52" xfId="0" applyFont="1" applyFill="1" applyBorder="1" applyAlignment="1">
      <alignment vertical="center"/>
    </xf>
    <xf numFmtId="0" fontId="21" fillId="74" borderId="52" xfId="0" applyFont="1" applyFill="1" applyBorder="1" applyAlignment="1">
      <alignment vertical="center"/>
    </xf>
    <xf numFmtId="0" fontId="21" fillId="74" borderId="52" xfId="0" applyFont="1" applyFill="1" applyBorder="1" applyAlignment="1">
      <alignment horizontal="center" vertical="center"/>
    </xf>
    <xf numFmtId="0" fontId="21" fillId="74" borderId="30" xfId="0" applyFont="1" applyFill="1" applyBorder="1" applyAlignment="1">
      <alignment horizontal="center" vertical="center"/>
    </xf>
    <xf numFmtId="0" fontId="21" fillId="74" borderId="18" xfId="0" applyFont="1" applyFill="1" applyBorder="1" applyAlignment="1">
      <alignment horizontal="center" vertical="center"/>
    </xf>
    <xf numFmtId="0" fontId="21" fillId="74" borderId="39" xfId="0" applyFont="1" applyFill="1" applyBorder="1" applyAlignment="1">
      <alignment horizontal="center" vertical="center"/>
    </xf>
    <xf numFmtId="0" fontId="16" fillId="74" borderId="53" xfId="0" applyFont="1" applyFill="1" applyBorder="1" applyAlignment="1">
      <alignment vertical="center"/>
    </xf>
    <xf numFmtId="0" fontId="21" fillId="74" borderId="53" xfId="0" applyFont="1" applyFill="1" applyBorder="1" applyAlignment="1">
      <alignment vertical="center"/>
    </xf>
    <xf numFmtId="0" fontId="21" fillId="74" borderId="53" xfId="0" applyFont="1" applyFill="1" applyBorder="1" applyAlignment="1">
      <alignment horizontal="center" vertical="center"/>
    </xf>
    <xf numFmtId="0" fontId="21" fillId="74" borderId="44" xfId="0" applyFont="1" applyFill="1" applyBorder="1" applyAlignment="1">
      <alignment horizontal="center" vertical="center" wrapText="1"/>
    </xf>
    <xf numFmtId="0" fontId="21" fillId="74" borderId="31" xfId="0" applyFont="1" applyFill="1" applyBorder="1" applyAlignment="1">
      <alignment horizontal="center" vertical="center"/>
    </xf>
    <xf numFmtId="0" fontId="21" fillId="74" borderId="56" xfId="0" applyFont="1" applyFill="1" applyBorder="1" applyAlignment="1">
      <alignment horizontal="center" vertical="center"/>
    </xf>
    <xf numFmtId="0" fontId="21" fillId="74" borderId="43" xfId="0" applyFont="1" applyFill="1" applyBorder="1" applyAlignment="1">
      <alignment horizontal="center" vertical="center"/>
    </xf>
    <xf numFmtId="0" fontId="16" fillId="74" borderId="54" xfId="0" applyFont="1" applyFill="1" applyBorder="1" applyAlignment="1">
      <alignment vertical="center"/>
    </xf>
    <xf numFmtId="0" fontId="21" fillId="74" borderId="54" xfId="0" applyFont="1" applyFill="1" applyBorder="1" applyAlignment="1">
      <alignment vertical="center"/>
    </xf>
    <xf numFmtId="0" fontId="21" fillId="74" borderId="54" xfId="0" applyFont="1" applyFill="1" applyBorder="1" applyAlignment="1">
      <alignment horizontal="center" vertical="center"/>
    </xf>
    <xf numFmtId="10" fontId="16" fillId="0" borderId="18" xfId="425" applyNumberFormat="1" applyFont="1" applyFill="1" applyBorder="1" applyAlignment="1" applyProtection="1">
      <alignment horizontal="center" vertical="center" wrapText="1"/>
    </xf>
    <xf numFmtId="10" fontId="21" fillId="0" borderId="18" xfId="0" applyNumberFormat="1" applyFont="1" applyBorder="1" applyAlignment="1">
      <alignment vertical="center"/>
    </xf>
    <xf numFmtId="1" fontId="8" fillId="34" borderId="20" xfId="0" applyNumberFormat="1" applyFont="1" applyFill="1" applyBorder="1" applyAlignment="1" applyProtection="1">
      <alignment horizontal="center" vertical="center" wrapText="1"/>
      <protection locked="0"/>
    </xf>
    <xf numFmtId="0" fontId="100" fillId="0" borderId="0" xfId="0" applyFont="1" applyAlignment="1">
      <alignment wrapText="1"/>
    </xf>
    <xf numFmtId="0" fontId="100" fillId="0" borderId="0" xfId="0" applyFont="1" applyAlignment="1">
      <alignment horizontal="left" vertical="top" wrapText="1"/>
    </xf>
    <xf numFmtId="0" fontId="100" fillId="0" borderId="18" xfId="0" applyFont="1" applyBorder="1" applyAlignment="1">
      <alignment horizontal="left" vertical="top" wrapText="1"/>
    </xf>
    <xf numFmtId="0" fontId="100" fillId="0" borderId="18" xfId="0" applyFont="1" applyBorder="1" applyAlignment="1">
      <alignment wrapText="1"/>
    </xf>
    <xf numFmtId="0" fontId="100" fillId="0" borderId="18" xfId="0" applyFont="1" applyBorder="1"/>
    <xf numFmtId="0" fontId="100" fillId="73" borderId="18" xfId="0" applyFont="1" applyFill="1" applyBorder="1"/>
    <xf numFmtId="0" fontId="100" fillId="73" borderId="18" xfId="0" applyFont="1" applyFill="1" applyBorder="1" applyAlignment="1">
      <alignment wrapText="1"/>
    </xf>
    <xf numFmtId="2" fontId="98" fillId="69" borderId="18" xfId="0" applyNumberFormat="1" applyFont="1" applyFill="1" applyBorder="1" applyAlignment="1">
      <alignment horizontal="center" vertical="center"/>
    </xf>
    <xf numFmtId="0" fontId="93" fillId="0" borderId="20" xfId="0" applyFont="1" applyBorder="1" applyAlignment="1">
      <alignment vertical="center" wrapText="1"/>
    </xf>
    <xf numFmtId="1" fontId="99" fillId="72" borderId="20" xfId="0" applyNumberFormat="1" applyFont="1" applyFill="1" applyBorder="1" applyAlignment="1" applyProtection="1">
      <alignment horizontal="center" vertical="center"/>
      <protection locked="0"/>
    </xf>
    <xf numFmtId="1" fontId="99" fillId="34" borderId="20" xfId="0" applyNumberFormat="1" applyFont="1" applyFill="1" applyBorder="1" applyAlignment="1" applyProtection="1">
      <alignment horizontal="center" vertical="center" wrapText="1"/>
      <protection locked="0"/>
    </xf>
    <xf numFmtId="10" fontId="99" fillId="27" borderId="20" xfId="425" applyNumberFormat="1" applyFont="1" applyFill="1" applyBorder="1" applyAlignment="1" applyProtection="1">
      <alignment horizontal="center" vertical="center" wrapText="1"/>
    </xf>
    <xf numFmtId="0" fontId="16" fillId="0" borderId="0" xfId="0" applyFont="1" applyAlignment="1">
      <alignment horizontal="left" vertical="center"/>
    </xf>
    <xf numFmtId="0" fontId="21" fillId="67" borderId="0" xfId="0" applyFont="1" applyFill="1"/>
    <xf numFmtId="1" fontId="21" fillId="70" borderId="18" xfId="0" applyNumberFormat="1" applyFont="1" applyFill="1" applyBorder="1" applyAlignment="1">
      <alignment horizontal="center" vertical="center"/>
    </xf>
    <xf numFmtId="1" fontId="21" fillId="70" borderId="18" xfId="425" applyNumberFormat="1" applyFont="1" applyFill="1" applyBorder="1" applyAlignment="1" applyProtection="1">
      <alignment horizontal="center" vertical="center"/>
    </xf>
    <xf numFmtId="0" fontId="21" fillId="89" borderId="18" xfId="0" applyFont="1" applyFill="1" applyBorder="1" applyAlignment="1">
      <alignment horizontal="center" vertical="center"/>
    </xf>
    <xf numFmtId="9" fontId="21" fillId="89" borderId="18" xfId="425" applyFont="1" applyFill="1" applyBorder="1" applyAlignment="1" applyProtection="1">
      <alignment horizontal="center" vertical="center"/>
    </xf>
    <xf numFmtId="0" fontId="21" fillId="89" borderId="18" xfId="425" applyNumberFormat="1" applyFont="1" applyFill="1" applyBorder="1" applyAlignment="1" applyProtection="1">
      <alignment horizontal="center" vertical="center"/>
    </xf>
    <xf numFmtId="49" fontId="21" fillId="89" borderId="18" xfId="0" applyNumberFormat="1" applyFont="1" applyFill="1" applyBorder="1" applyAlignment="1">
      <alignment horizontal="center" vertical="center"/>
    </xf>
    <xf numFmtId="0" fontId="16" fillId="89" borderId="18" xfId="0" applyFont="1" applyFill="1" applyBorder="1" applyAlignment="1">
      <alignment horizontal="center" vertical="center"/>
    </xf>
    <xf numFmtId="9" fontId="16" fillId="89" borderId="18" xfId="425" applyFont="1" applyFill="1" applyBorder="1" applyAlignment="1" applyProtection="1">
      <alignment horizontal="center" vertical="center"/>
    </xf>
    <xf numFmtId="165" fontId="21" fillId="89" borderId="18" xfId="425" applyNumberFormat="1" applyFont="1" applyFill="1" applyBorder="1" applyAlignment="1" applyProtection="1">
      <alignment horizontal="center" vertical="center"/>
    </xf>
    <xf numFmtId="0" fontId="31" fillId="0" borderId="0" xfId="0" quotePrefix="1" applyFont="1"/>
    <xf numFmtId="0" fontId="114" fillId="0" borderId="0" xfId="513" applyFont="1"/>
    <xf numFmtId="0" fontId="115" fillId="0" borderId="0" xfId="0" applyFont="1"/>
    <xf numFmtId="0" fontId="116" fillId="0" borderId="0" xfId="0" applyFont="1"/>
    <xf numFmtId="0" fontId="118" fillId="0" borderId="0" xfId="0" applyFont="1" applyAlignment="1">
      <alignment horizontal="left" vertical="center"/>
    </xf>
    <xf numFmtId="0" fontId="119" fillId="0" borderId="0" xfId="0" applyFont="1" applyAlignment="1">
      <alignment horizontal="left"/>
    </xf>
    <xf numFmtId="0" fontId="118" fillId="0" borderId="0" xfId="0" applyFont="1"/>
    <xf numFmtId="0" fontId="121" fillId="0" borderId="0" xfId="0" applyFont="1"/>
    <xf numFmtId="0" fontId="115" fillId="0" borderId="0" xfId="0" applyFont="1" applyAlignment="1">
      <alignment horizontal="center"/>
    </xf>
    <xf numFmtId="0" fontId="122" fillId="0" borderId="0" xfId="513" applyFont="1" applyAlignment="1">
      <alignment vertical="center"/>
    </xf>
    <xf numFmtId="0" fontId="123" fillId="0" borderId="0" xfId="513" applyFont="1" applyAlignment="1">
      <alignment horizontal="left" vertical="center"/>
    </xf>
    <xf numFmtId="0" fontId="117" fillId="0" borderId="0" xfId="0" applyFont="1"/>
    <xf numFmtId="0" fontId="123" fillId="0" borderId="0" xfId="513" applyFont="1"/>
    <xf numFmtId="0" fontId="122" fillId="0" borderId="0" xfId="513" applyFont="1"/>
    <xf numFmtId="0" fontId="117" fillId="0" borderId="0" xfId="0" applyFont="1" applyAlignment="1">
      <alignment vertical="center"/>
    </xf>
    <xf numFmtId="0" fontId="116" fillId="0" borderId="0" xfId="0" applyFont="1" applyAlignment="1">
      <alignment horizontal="left" vertical="center"/>
    </xf>
    <xf numFmtId="0" fontId="117" fillId="0" borderId="87" xfId="0" applyFont="1" applyBorder="1" applyAlignment="1">
      <alignment vertical="center"/>
    </xf>
    <xf numFmtId="0" fontId="123" fillId="0" borderId="0" xfId="513" applyFont="1" applyAlignment="1">
      <alignment vertical="center"/>
    </xf>
    <xf numFmtId="0" fontId="116" fillId="0" borderId="0" xfId="0" applyFont="1" applyAlignment="1">
      <alignment vertical="center"/>
    </xf>
    <xf numFmtId="0" fontId="122" fillId="0" borderId="87" xfId="513" applyFont="1" applyBorder="1" applyAlignment="1">
      <alignment vertical="center"/>
    </xf>
    <xf numFmtId="0" fontId="115" fillId="0" borderId="0" xfId="0" applyFont="1" applyAlignment="1">
      <alignment vertical="center"/>
    </xf>
    <xf numFmtId="0" fontId="122" fillId="0" borderId="0" xfId="0" applyFont="1" applyAlignment="1">
      <alignment vertical="center"/>
    </xf>
    <xf numFmtId="0" fontId="122" fillId="0" borderId="87" xfId="0" applyFont="1" applyBorder="1" applyAlignment="1">
      <alignment vertical="center"/>
    </xf>
    <xf numFmtId="0" fontId="123" fillId="0" borderId="0" xfId="0" applyFont="1"/>
    <xf numFmtId="0" fontId="116" fillId="27" borderId="0" xfId="0" applyFont="1" applyFill="1" applyAlignment="1">
      <alignment horizontal="center" vertical="center" wrapText="1"/>
    </xf>
    <xf numFmtId="0" fontId="122" fillId="0" borderId="0" xfId="0" applyFont="1"/>
    <xf numFmtId="0" fontId="117" fillId="27" borderId="0" xfId="0" applyFont="1" applyFill="1" applyAlignment="1">
      <alignment horizontal="center" vertical="center" wrapText="1"/>
    </xf>
    <xf numFmtId="0" fontId="116" fillId="0" borderId="18" xfId="0" applyFont="1" applyBorder="1" applyAlignment="1">
      <alignment horizontal="center" textRotation="90" wrapText="1"/>
    </xf>
    <xf numFmtId="0" fontId="126" fillId="0" borderId="0" xfId="0" applyFont="1" applyAlignment="1">
      <alignment horizontal="center" vertical="center" wrapText="1"/>
    </xf>
    <xf numFmtId="0" fontId="116" fillId="0" borderId="0" xfId="0" applyFont="1" applyAlignment="1">
      <alignment horizontal="center" textRotation="90"/>
    </xf>
    <xf numFmtId="0" fontId="116" fillId="0" borderId="0" xfId="0" applyFont="1" applyAlignment="1">
      <alignment horizontal="center" textRotation="90" wrapText="1"/>
    </xf>
    <xf numFmtId="0" fontId="126" fillId="0" borderId="0" xfId="0" applyFont="1" applyAlignment="1">
      <alignment horizontal="center" textRotation="90"/>
    </xf>
    <xf numFmtId="0" fontId="126" fillId="0" borderId="0" xfId="0" applyFont="1" applyAlignment="1">
      <alignment horizontal="center" vertical="center"/>
    </xf>
    <xf numFmtId="0" fontId="116" fillId="0" borderId="49" xfId="0" applyFont="1" applyBorder="1" applyAlignment="1">
      <alignment vertical="center"/>
    </xf>
    <xf numFmtId="0" fontId="116" fillId="72" borderId="66" xfId="0" applyFont="1" applyFill="1" applyBorder="1" applyAlignment="1" applyProtection="1">
      <alignment horizontal="center" vertical="center"/>
      <protection locked="0"/>
    </xf>
    <xf numFmtId="0" fontId="116" fillId="0" borderId="57" xfId="0" quotePrefix="1" applyFont="1" applyBorder="1" applyAlignment="1">
      <alignment horizontal="center" vertical="center"/>
    </xf>
    <xf numFmtId="0" fontId="116" fillId="0" borderId="23" xfId="0" applyFont="1" applyBorder="1" applyAlignment="1">
      <alignment vertical="center"/>
    </xf>
    <xf numFmtId="0" fontId="116" fillId="72" borderId="18" xfId="0" applyFont="1" applyFill="1" applyBorder="1" applyAlignment="1" applyProtection="1">
      <alignment horizontal="center" vertical="center"/>
      <protection locked="0"/>
    </xf>
    <xf numFmtId="0" fontId="116" fillId="0" borderId="39" xfId="0" applyFont="1" applyBorder="1" applyAlignment="1">
      <alignment horizontal="center" vertical="center"/>
    </xf>
    <xf numFmtId="0" fontId="116" fillId="0" borderId="0" xfId="0" quotePrefix="1" applyFont="1"/>
    <xf numFmtId="0" fontId="116" fillId="0" borderId="71" xfId="0" applyFont="1" applyBorder="1" applyAlignment="1">
      <alignment horizontal="center" vertical="center"/>
    </xf>
    <xf numFmtId="0" fontId="116" fillId="0" borderId="43" xfId="0" applyFont="1" applyBorder="1" applyAlignment="1">
      <alignment horizontal="center" vertical="center"/>
    </xf>
    <xf numFmtId="0" fontId="126" fillId="0" borderId="0" xfId="0" applyFont="1" applyAlignment="1">
      <alignment horizontal="left" vertical="center"/>
    </xf>
    <xf numFmtId="0" fontId="116" fillId="0" borderId="0" xfId="0" applyFont="1" applyAlignment="1">
      <alignment horizontal="center" vertical="center"/>
    </xf>
    <xf numFmtId="0" fontId="116" fillId="88" borderId="36" xfId="0" applyFont="1" applyFill="1" applyBorder="1" applyAlignment="1">
      <alignment vertical="center"/>
    </xf>
    <xf numFmtId="0" fontId="116" fillId="88" borderId="36" xfId="0" applyFont="1" applyFill="1" applyBorder="1" applyAlignment="1">
      <alignment horizontal="center" vertical="center"/>
    </xf>
    <xf numFmtId="0" fontId="116" fillId="72" borderId="36" xfId="0" applyFont="1" applyFill="1" applyBorder="1" applyAlignment="1" applyProtection="1">
      <alignment horizontal="center" vertical="center"/>
      <protection locked="0"/>
    </xf>
    <xf numFmtId="0" fontId="116" fillId="0" borderId="37" xfId="0" applyFont="1" applyBorder="1" applyAlignment="1">
      <alignment horizontal="center" vertical="center"/>
    </xf>
    <xf numFmtId="0" fontId="126" fillId="0" borderId="0" xfId="0" applyFont="1" applyAlignment="1">
      <alignment vertical="center"/>
    </xf>
    <xf numFmtId="0" fontId="116" fillId="72" borderId="55" xfId="0" applyFont="1" applyFill="1" applyBorder="1" applyAlignment="1" applyProtection="1">
      <alignment horizontal="center" vertical="center"/>
      <protection locked="0"/>
    </xf>
    <xf numFmtId="0" fontId="116" fillId="72" borderId="56" xfId="0" applyFont="1" applyFill="1" applyBorder="1" applyAlignment="1" applyProtection="1">
      <alignment horizontal="center" vertical="center"/>
      <protection locked="0"/>
    </xf>
    <xf numFmtId="0" fontId="116" fillId="0" borderId="36" xfId="0" applyFont="1" applyBorder="1" applyAlignment="1">
      <alignment horizontal="center" vertical="center"/>
    </xf>
    <xf numFmtId="0" fontId="116" fillId="0" borderId="20" xfId="0" applyFont="1" applyBorder="1" applyAlignment="1">
      <alignment horizontal="center" vertical="center"/>
    </xf>
    <xf numFmtId="0" fontId="116" fillId="0" borderId="0" xfId="0" applyFont="1" applyAlignment="1">
      <alignment horizontal="center"/>
    </xf>
    <xf numFmtId="0" fontId="131" fillId="0" borderId="0" xfId="0" applyFont="1" applyAlignment="1">
      <alignment horizontal="left" vertical="center" wrapText="1"/>
    </xf>
    <xf numFmtId="0" fontId="132" fillId="0" borderId="0" xfId="0" applyFont="1" applyAlignment="1">
      <alignment horizontal="left" vertical="center"/>
    </xf>
    <xf numFmtId="0" fontId="132" fillId="0" borderId="0" xfId="0" applyFont="1"/>
    <xf numFmtId="0" fontId="17" fillId="90" borderId="0" xfId="0" applyFont="1" applyFill="1"/>
    <xf numFmtId="0" fontId="21" fillId="89" borderId="0" xfId="0" applyFont="1" applyFill="1"/>
    <xf numFmtId="0" fontId="136" fillId="81" borderId="18" xfId="0" applyFont="1" applyFill="1" applyBorder="1" applyAlignment="1">
      <alignment vertical="center"/>
    </xf>
    <xf numFmtId="0" fontId="136" fillId="0" borderId="0" xfId="0" applyFont="1" applyAlignment="1">
      <alignment vertical="center"/>
    </xf>
    <xf numFmtId="0" fontId="137" fillId="0" borderId="18" xfId="0" applyFont="1" applyBorder="1" applyAlignment="1">
      <alignment horizontal="center" vertical="center" wrapText="1"/>
    </xf>
    <xf numFmtId="9" fontId="137" fillId="0" borderId="18" xfId="0" applyNumberFormat="1" applyFont="1" applyBorder="1" applyAlignment="1">
      <alignment horizontal="center" vertical="center" wrapText="1"/>
    </xf>
    <xf numFmtId="0" fontId="137" fillId="0" borderId="0" xfId="0" applyFont="1" applyAlignment="1">
      <alignment vertical="center"/>
    </xf>
    <xf numFmtId="0" fontId="136" fillId="0" borderId="0" xfId="0" applyFont="1" applyAlignment="1">
      <alignment vertical="center" wrapText="1"/>
    </xf>
    <xf numFmtId="0" fontId="136" fillId="0" borderId="0" xfId="0" applyFont="1" applyAlignment="1">
      <alignment horizontal="center" vertical="center" wrapText="1"/>
    </xf>
    <xf numFmtId="0" fontId="136" fillId="0" borderId="18" xfId="0" applyFont="1" applyBorder="1" applyAlignment="1">
      <alignment vertical="center"/>
    </xf>
    <xf numFmtId="0" fontId="136" fillId="0" borderId="18" xfId="0" applyFont="1" applyBorder="1" applyAlignment="1">
      <alignment horizontal="center" vertical="center" wrapText="1"/>
    </xf>
    <xf numFmtId="0" fontId="136" fillId="0" borderId="18" xfId="0" applyFont="1" applyBorder="1" applyAlignment="1">
      <alignment horizontal="left" vertical="center" wrapText="1"/>
    </xf>
    <xf numFmtId="9" fontId="136" fillId="0" borderId="18" xfId="0" applyNumberFormat="1" applyFont="1" applyBorder="1" applyAlignment="1">
      <alignment horizontal="center" vertical="center" wrapText="1"/>
    </xf>
    <xf numFmtId="0" fontId="136" fillId="0" borderId="18" xfId="0" applyFont="1" applyBorder="1" applyAlignment="1">
      <alignment vertical="center" wrapText="1"/>
    </xf>
    <xf numFmtId="0" fontId="136" fillId="89" borderId="18" xfId="0" applyFont="1" applyFill="1" applyBorder="1" applyAlignment="1">
      <alignment horizontal="center" vertical="center" wrapText="1"/>
    </xf>
    <xf numFmtId="9" fontId="136" fillId="0" borderId="18" xfId="0" quotePrefix="1" applyNumberFormat="1" applyFont="1" applyBorder="1" applyAlignment="1">
      <alignment horizontal="center" vertical="center" wrapText="1"/>
    </xf>
    <xf numFmtId="0" fontId="136" fillId="0" borderId="0" xfId="0" applyFont="1" applyAlignment="1">
      <alignment horizontal="left" vertical="center" wrapText="1"/>
    </xf>
    <xf numFmtId="9" fontId="136" fillId="0" borderId="0" xfId="0" applyNumberFormat="1" applyFont="1" applyAlignment="1">
      <alignment vertical="center" wrapText="1"/>
    </xf>
    <xf numFmtId="0" fontId="21" fillId="0" borderId="18" xfId="0" applyFont="1" applyBorder="1" applyAlignment="1">
      <alignment horizontal="center" textRotation="90" wrapText="1"/>
    </xf>
    <xf numFmtId="10" fontId="8" fillId="0" borderId="20" xfId="425" applyNumberFormat="1" applyFont="1" applyFill="1" applyBorder="1" applyAlignment="1" applyProtection="1">
      <alignment horizontal="center" vertical="center" wrapText="1"/>
    </xf>
    <xf numFmtId="0" fontId="21" fillId="0" borderId="18" xfId="0" applyFont="1" applyBorder="1" applyAlignment="1">
      <alignment wrapText="1"/>
    </xf>
    <xf numFmtId="0" fontId="12" fillId="0" borderId="18" xfId="0" applyFont="1" applyBorder="1"/>
    <xf numFmtId="0" fontId="0" fillId="0" borderId="18" xfId="0" applyBorder="1"/>
    <xf numFmtId="0" fontId="102" fillId="0" borderId="18" xfId="0" applyFont="1" applyBorder="1"/>
    <xf numFmtId="0" fontId="96" fillId="0" borderId="18" xfId="0" applyFont="1" applyBorder="1"/>
    <xf numFmtId="0" fontId="52" fillId="0" borderId="18" xfId="0" applyFont="1" applyBorder="1"/>
    <xf numFmtId="0" fontId="95" fillId="0" borderId="18" xfId="0" applyFont="1" applyBorder="1"/>
    <xf numFmtId="0" fontId="93" fillId="0" borderId="23" xfId="0" applyFont="1" applyBorder="1"/>
    <xf numFmtId="0" fontId="93" fillId="0" borderId="25" xfId="0" applyFont="1" applyBorder="1" applyAlignment="1">
      <alignment horizontal="center" vertical="center"/>
    </xf>
    <xf numFmtId="0" fontId="3" fillId="0" borderId="0" xfId="0" applyFont="1" applyAlignment="1">
      <alignment vertical="top"/>
    </xf>
    <xf numFmtId="0" fontId="16" fillId="0" borderId="0" xfId="0" applyFont="1" applyAlignment="1">
      <alignment vertical="center"/>
    </xf>
    <xf numFmtId="0" fontId="16" fillId="89" borderId="0" xfId="0" applyFont="1" applyFill="1"/>
    <xf numFmtId="165" fontId="16" fillId="89" borderId="18" xfId="425" applyNumberFormat="1" applyFont="1" applyFill="1" applyBorder="1" applyAlignment="1" applyProtection="1">
      <alignment horizontal="center" vertical="center"/>
    </xf>
    <xf numFmtId="0" fontId="16" fillId="89" borderId="18" xfId="0" quotePrefix="1" applyFont="1" applyFill="1" applyBorder="1" applyAlignment="1">
      <alignment horizontal="center" vertical="center"/>
    </xf>
    <xf numFmtId="0" fontId="100" fillId="89" borderId="0" xfId="0" applyFont="1" applyFill="1"/>
    <xf numFmtId="0" fontId="139" fillId="0" borderId="0" xfId="0" applyFont="1"/>
    <xf numFmtId="1" fontId="21" fillId="0" borderId="0" xfId="0" quotePrefix="1" applyNumberFormat="1" applyFont="1" applyAlignment="1">
      <alignment vertical="center"/>
    </xf>
    <xf numFmtId="1" fontId="21" fillId="0" borderId="0" xfId="0" applyNumberFormat="1" applyFont="1" applyAlignment="1">
      <alignment vertical="center"/>
    </xf>
    <xf numFmtId="0" fontId="95" fillId="0" borderId="0" xfId="0" applyFont="1" applyAlignment="1">
      <alignment horizontal="left" vertical="center"/>
    </xf>
    <xf numFmtId="0" fontId="1" fillId="81" borderId="0" xfId="0" applyFont="1" applyFill="1"/>
    <xf numFmtId="0" fontId="60" fillId="0" borderId="0" xfId="0" applyFont="1" applyAlignment="1">
      <alignment horizontal="center" vertical="center" wrapText="1" readingOrder="1"/>
    </xf>
    <xf numFmtId="0" fontId="7" fillId="0" borderId="0" xfId="0" applyFont="1" applyAlignment="1">
      <alignment vertical="center" wrapText="1"/>
    </xf>
    <xf numFmtId="10" fontId="8" fillId="0" borderId="0" xfId="425" applyNumberFormat="1" applyFont="1" applyFill="1" applyBorder="1" applyAlignment="1" applyProtection="1">
      <alignment horizontal="center" vertical="center" wrapText="1"/>
    </xf>
    <xf numFmtId="0" fontId="7" fillId="0" borderId="0" xfId="0" applyFont="1" applyAlignment="1">
      <alignment horizontal="center" vertical="center" wrapText="1" readingOrder="1"/>
    </xf>
    <xf numFmtId="49" fontId="107"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60" fillId="0" borderId="0" xfId="0" applyFont="1" applyAlignment="1">
      <alignment horizontal="left" vertical="center" wrapText="1" readingOrder="1"/>
    </xf>
    <xf numFmtId="0" fontId="46" fillId="0" borderId="0" xfId="0" applyFont="1" applyAlignment="1">
      <alignment horizontal="center" vertical="center" wrapText="1"/>
    </xf>
    <xf numFmtId="0" fontId="0" fillId="81" borderId="0" xfId="0" applyFill="1"/>
    <xf numFmtId="1" fontId="98" fillId="69" borderId="18" xfId="0" applyNumberFormat="1" applyFont="1" applyFill="1" applyBorder="1" applyAlignment="1">
      <alignment horizontal="center" vertical="center"/>
    </xf>
    <xf numFmtId="1" fontId="21" fillId="89" borderId="18" xfId="0" applyNumberFormat="1" applyFont="1" applyFill="1" applyBorder="1" applyAlignment="1">
      <alignment horizontal="center" vertical="center"/>
    </xf>
    <xf numFmtId="0" fontId="21" fillId="0" borderId="0" xfId="0" applyFont="1" applyAlignment="1">
      <alignment horizontal="left" vertical="center" wrapText="1"/>
    </xf>
    <xf numFmtId="0" fontId="13" fillId="0" borderId="0" xfId="0" applyFont="1" applyAlignment="1">
      <alignment horizontal="justify" vertical="center" wrapText="1"/>
    </xf>
    <xf numFmtId="0" fontId="116" fillId="72" borderId="22" xfId="0" applyFont="1" applyFill="1" applyBorder="1" applyAlignment="1" applyProtection="1">
      <alignment horizontal="center" vertical="center"/>
      <protection locked="0"/>
    </xf>
    <xf numFmtId="0" fontId="116" fillId="88" borderId="18" xfId="0" applyFont="1" applyFill="1" applyBorder="1" applyAlignment="1">
      <alignment vertical="center"/>
    </xf>
    <xf numFmtId="0" fontId="116" fillId="72" borderId="29" xfId="0" applyFont="1" applyFill="1" applyBorder="1" applyAlignment="1" applyProtection="1">
      <alignment horizontal="center" vertical="center"/>
      <protection locked="0"/>
    </xf>
    <xf numFmtId="0" fontId="116" fillId="88" borderId="66" xfId="0" applyFont="1" applyFill="1" applyBorder="1" applyAlignment="1">
      <alignment vertical="center"/>
    </xf>
    <xf numFmtId="165" fontId="7" fillId="91" borderId="26" xfId="889" applyNumberFormat="1" applyFont="1" applyFill="1" applyBorder="1" applyAlignment="1" applyProtection="1">
      <alignment horizontal="center" vertical="center"/>
    </xf>
    <xf numFmtId="9" fontId="7" fillId="91" borderId="20" xfId="889" applyFont="1" applyFill="1" applyBorder="1" applyAlignment="1" applyProtection="1">
      <alignment horizontal="center" vertical="center"/>
    </xf>
    <xf numFmtId="165" fontId="7" fillId="92" borderId="68" xfId="889" applyNumberFormat="1" applyFont="1" applyFill="1" applyBorder="1" applyAlignment="1" applyProtection="1">
      <alignment horizontal="center" vertical="center"/>
    </xf>
    <xf numFmtId="165" fontId="7" fillId="92" borderId="38" xfId="889" applyNumberFormat="1" applyFont="1" applyFill="1" applyBorder="1" applyAlignment="1" applyProtection="1">
      <alignment horizontal="center" vertical="center"/>
    </xf>
    <xf numFmtId="165" fontId="7" fillId="0" borderId="26" xfId="889" applyNumberFormat="1" applyFont="1" applyFill="1" applyBorder="1" applyAlignment="1" applyProtection="1">
      <alignment horizontal="center" vertical="center"/>
    </xf>
    <xf numFmtId="165" fontId="7" fillId="94" borderId="64" xfId="889" applyNumberFormat="1" applyFont="1" applyFill="1" applyBorder="1" applyAlignment="1" applyProtection="1">
      <alignment horizontal="center" vertical="center"/>
    </xf>
    <xf numFmtId="165" fontId="7" fillId="94" borderId="44" xfId="889" applyNumberFormat="1" applyFont="1" applyFill="1" applyBorder="1" applyAlignment="1" applyProtection="1">
      <alignment horizontal="center" vertical="center"/>
    </xf>
    <xf numFmtId="165" fontId="7" fillId="94" borderId="26" xfId="889" applyNumberFormat="1" applyFont="1" applyFill="1" applyBorder="1" applyAlignment="1" applyProtection="1">
      <alignment horizontal="center" vertical="center"/>
    </xf>
    <xf numFmtId="165" fontId="7" fillId="94" borderId="20" xfId="889" applyNumberFormat="1" applyFont="1" applyFill="1" applyBorder="1" applyAlignment="1" applyProtection="1">
      <alignment horizontal="center" vertical="center"/>
    </xf>
    <xf numFmtId="165" fontId="7" fillId="0" borderId="0" xfId="889" applyNumberFormat="1" applyFont="1" applyFill="1" applyBorder="1" applyAlignment="1" applyProtection="1">
      <alignment horizontal="center" vertical="center"/>
    </xf>
    <xf numFmtId="165" fontId="7" fillId="0" borderId="44" xfId="889" applyNumberFormat="1" applyFont="1" applyFill="1" applyBorder="1" applyAlignment="1" applyProtection="1">
      <alignment horizontal="center" vertical="top" wrapText="1"/>
    </xf>
    <xf numFmtId="0" fontId="100" fillId="95" borderId="18" xfId="0" applyFont="1" applyFill="1" applyBorder="1"/>
    <xf numFmtId="0" fontId="116" fillId="88" borderId="56" xfId="0" applyFont="1" applyFill="1" applyBorder="1" applyAlignment="1">
      <alignment vertical="center"/>
    </xf>
    <xf numFmtId="10" fontId="99" fillId="0" borderId="20" xfId="425" applyNumberFormat="1" applyFont="1" applyFill="1" applyBorder="1" applyAlignment="1" applyProtection="1">
      <alignment horizontal="center" vertical="center" wrapText="1"/>
    </xf>
    <xf numFmtId="0" fontId="32" fillId="0" borderId="0" xfId="0" applyFont="1" applyAlignment="1">
      <alignment vertical="center"/>
    </xf>
    <xf numFmtId="0" fontId="28" fillId="0" borderId="18" xfId="523" applyFont="1" applyBorder="1" applyAlignment="1">
      <alignment vertical="center" wrapText="1"/>
    </xf>
    <xf numFmtId="0" fontId="16" fillId="0" borderId="18" xfId="0" applyFont="1" applyBorder="1" applyAlignment="1">
      <alignment vertical="center" wrapText="1"/>
    </xf>
    <xf numFmtId="0" fontId="100" fillId="0" borderId="18" xfId="0" applyFont="1" applyBorder="1" applyAlignment="1">
      <alignment vertical="center"/>
    </xf>
    <xf numFmtId="165" fontId="16" fillId="0" borderId="18" xfId="425" applyNumberFormat="1" applyFont="1" applyFill="1" applyBorder="1" applyAlignment="1" applyProtection="1">
      <alignment horizontal="center" vertical="center"/>
    </xf>
    <xf numFmtId="9" fontId="16" fillId="0" borderId="18" xfId="425" applyFont="1" applyFill="1" applyBorder="1" applyAlignment="1" applyProtection="1">
      <alignment horizontal="center" vertical="center"/>
    </xf>
    <xf numFmtId="9" fontId="16" fillId="70" borderId="18" xfId="425" applyFont="1" applyFill="1" applyBorder="1" applyAlignment="1" applyProtection="1">
      <alignment horizontal="center" vertical="center"/>
    </xf>
    <xf numFmtId="0" fontId="15" fillId="0" borderId="0" xfId="0" applyFont="1" applyAlignment="1">
      <alignment vertical="center"/>
    </xf>
    <xf numFmtId="0" fontId="1" fillId="0" borderId="0" xfId="0" applyFont="1"/>
    <xf numFmtId="0" fontId="143" fillId="0" borderId="0" xfId="0" applyFont="1"/>
    <xf numFmtId="0" fontId="101" fillId="0" borderId="0" xfId="0" applyFont="1"/>
    <xf numFmtId="0" fontId="101" fillId="0" borderId="20" xfId="0" applyFont="1" applyBorder="1" applyAlignment="1">
      <alignment horizontal="center" vertical="center"/>
    </xf>
    <xf numFmtId="0" fontId="100" fillId="0" borderId="56" xfId="0" applyFont="1" applyBorder="1" applyAlignment="1">
      <alignment horizontal="center" vertical="center" wrapText="1"/>
    </xf>
    <xf numFmtId="0" fontId="100" fillId="0" borderId="43" xfId="0" applyFont="1" applyBorder="1" applyAlignment="1">
      <alignment horizontal="center" vertical="center" wrapText="1"/>
    </xf>
    <xf numFmtId="0" fontId="100" fillId="0" borderId="18" xfId="0" applyFont="1" applyBorder="1" applyAlignment="1">
      <alignment horizontal="center" vertical="center"/>
    </xf>
    <xf numFmtId="0" fontId="100" fillId="0" borderId="18" xfId="0" applyFont="1" applyBorder="1" applyAlignment="1">
      <alignment horizontal="center" vertical="center" wrapText="1"/>
    </xf>
    <xf numFmtId="0" fontId="0" fillId="0" borderId="93" xfId="0" applyBorder="1"/>
    <xf numFmtId="0" fontId="100" fillId="0" borderId="29" xfId="0" applyFont="1" applyBorder="1" applyAlignment="1">
      <alignment horizontal="left" vertical="center"/>
    </xf>
    <xf numFmtId="0" fontId="105" fillId="0" borderId="0" xfId="0" applyFont="1"/>
    <xf numFmtId="0" fontId="145" fillId="0" borderId="0" xfId="0" applyFont="1" applyAlignment="1">
      <alignment horizontal="left"/>
    </xf>
    <xf numFmtId="49" fontId="16" fillId="83" borderId="115" xfId="513" applyNumberFormat="1" applyFont="1" applyFill="1" applyBorder="1" applyAlignment="1" applyProtection="1">
      <alignment vertical="center" wrapText="1"/>
      <protection locked="0"/>
    </xf>
    <xf numFmtId="49" fontId="16" fillId="83" borderId="18" xfId="513" applyNumberFormat="1" applyFont="1" applyFill="1" applyBorder="1" applyAlignment="1" applyProtection="1">
      <alignment vertical="center" wrapText="1"/>
      <protection locked="0"/>
    </xf>
    <xf numFmtId="1" fontId="16" fillId="83" borderId="29" xfId="513" applyNumberFormat="1" applyFont="1" applyFill="1" applyBorder="1" applyAlignment="1" applyProtection="1">
      <alignment horizontal="center" vertical="center" wrapText="1"/>
      <protection locked="0"/>
    </xf>
    <xf numFmtId="1" fontId="16" fillId="83" borderId="92" xfId="513" applyNumberFormat="1" applyFont="1" applyFill="1" applyBorder="1" applyAlignment="1" applyProtection="1">
      <alignment horizontal="center" vertical="center" wrapText="1"/>
      <protection locked="0"/>
    </xf>
    <xf numFmtId="0" fontId="7" fillId="0" borderId="0" xfId="0" applyFont="1" applyAlignment="1">
      <alignment vertical="center"/>
    </xf>
    <xf numFmtId="49" fontId="16" fillId="83" borderId="29" xfId="513" applyNumberFormat="1" applyFont="1" applyFill="1" applyBorder="1" applyAlignment="1" applyProtection="1">
      <alignment vertical="center" wrapText="1"/>
      <protection locked="0"/>
    </xf>
    <xf numFmtId="1" fontId="16" fillId="83" borderId="18" xfId="513" applyNumberFormat="1" applyFont="1" applyFill="1" applyBorder="1" applyAlignment="1" applyProtection="1">
      <alignment horizontal="center" vertical="center" wrapText="1"/>
      <protection locked="0"/>
    </xf>
    <xf numFmtId="1" fontId="16" fillId="83" borderId="25" xfId="513" applyNumberFormat="1" applyFont="1" applyFill="1" applyBorder="1" applyAlignment="1" applyProtection="1">
      <alignment horizontal="center" vertical="center" wrapText="1"/>
      <protection locked="0"/>
    </xf>
    <xf numFmtId="49" fontId="16" fillId="83" borderId="112" xfId="513" applyNumberFormat="1" applyFont="1" applyFill="1" applyBorder="1" applyAlignment="1" applyProtection="1">
      <alignment vertical="center" wrapText="1"/>
      <protection locked="0"/>
    </xf>
    <xf numFmtId="1" fontId="16" fillId="83" borderId="21" xfId="513" applyNumberFormat="1" applyFont="1" applyFill="1" applyBorder="1" applyAlignment="1" applyProtection="1">
      <alignment horizontal="center" vertical="center" wrapText="1"/>
      <protection locked="0"/>
    </xf>
    <xf numFmtId="49" fontId="16" fillId="83" borderId="90" xfId="513" applyNumberFormat="1" applyFont="1" applyFill="1" applyBorder="1" applyAlignment="1" applyProtection="1">
      <alignment vertical="center" wrapText="1"/>
      <protection locked="0"/>
    </xf>
    <xf numFmtId="49" fontId="16" fillId="83" borderId="56" xfId="513" applyNumberFormat="1" applyFont="1" applyFill="1" applyBorder="1" applyAlignment="1" applyProtection="1">
      <alignment vertical="center" wrapText="1"/>
      <protection locked="0"/>
    </xf>
    <xf numFmtId="1" fontId="16" fillId="83" borderId="56" xfId="513" applyNumberFormat="1" applyFont="1" applyFill="1" applyBorder="1" applyAlignment="1" applyProtection="1">
      <alignment horizontal="center" vertical="center" wrapText="1"/>
      <protection locked="0"/>
    </xf>
    <xf numFmtId="1" fontId="16" fillId="83" borderId="50" xfId="513" applyNumberFormat="1" applyFont="1" applyFill="1" applyBorder="1" applyAlignment="1" applyProtection="1">
      <alignment horizontal="center" vertical="center" wrapText="1"/>
      <protection locked="0"/>
    </xf>
    <xf numFmtId="49" fontId="16" fillId="83" borderId="43" xfId="513" applyNumberFormat="1" applyFont="1" applyFill="1" applyBorder="1" applyAlignment="1" applyProtection="1">
      <alignment vertical="center" wrapText="1"/>
      <protection locked="0"/>
    </xf>
    <xf numFmtId="0" fontId="99" fillId="0" borderId="18" xfId="0" applyFont="1" applyBorder="1" applyAlignment="1">
      <alignment horizontal="center" vertical="center" wrapText="1"/>
    </xf>
    <xf numFmtId="0" fontId="4" fillId="0" borderId="0" xfId="0" applyFont="1" applyAlignment="1">
      <alignment horizontal="center" vertical="center"/>
    </xf>
    <xf numFmtId="0" fontId="1" fillId="0" borderId="18" xfId="0" applyFont="1" applyBorder="1" applyAlignment="1">
      <alignment wrapText="1"/>
    </xf>
    <xf numFmtId="0" fontId="1" fillId="95" borderId="18" xfId="0" applyFont="1" applyFill="1" applyBorder="1"/>
    <xf numFmtId="0" fontId="16" fillId="0" borderId="71" xfId="0" applyFont="1" applyBorder="1" applyAlignment="1">
      <alignment horizontal="center" vertical="center" wrapText="1"/>
    </xf>
    <xf numFmtId="0" fontId="16" fillId="0" borderId="117" xfId="0" applyFont="1" applyBorder="1" applyAlignment="1">
      <alignment horizontal="center" vertical="center" wrapText="1"/>
    </xf>
    <xf numFmtId="49" fontId="16" fillId="83" borderId="114" xfId="513" applyNumberFormat="1" applyFont="1" applyFill="1" applyBorder="1" applyAlignment="1" applyProtection="1">
      <alignment vertical="center" wrapText="1"/>
      <protection locked="0"/>
    </xf>
    <xf numFmtId="1" fontId="16" fillId="83" borderId="18" xfId="513" applyNumberFormat="1" applyFont="1" applyFill="1" applyBorder="1" applyAlignment="1" applyProtection="1">
      <alignment horizontal="center" vertical="center"/>
      <protection locked="0"/>
    </xf>
    <xf numFmtId="1" fontId="16" fillId="83" borderId="39" xfId="513" applyNumberFormat="1" applyFont="1" applyFill="1" applyBorder="1" applyAlignment="1" applyProtection="1">
      <alignment horizontal="center" vertical="center"/>
      <protection locked="0"/>
    </xf>
    <xf numFmtId="49" fontId="16" fillId="83" borderId="30" xfId="513" applyNumberFormat="1" applyFont="1" applyFill="1" applyBorder="1" applyAlignment="1" applyProtection="1">
      <alignment vertical="center" wrapText="1"/>
      <protection locked="0"/>
    </xf>
    <xf numFmtId="49" fontId="16" fillId="83" borderId="31" xfId="513" applyNumberFormat="1" applyFont="1" applyFill="1" applyBorder="1" applyAlignment="1" applyProtection="1">
      <alignment vertical="center" wrapText="1"/>
      <protection locked="0"/>
    </xf>
    <xf numFmtId="1" fontId="16" fillId="83" borderId="56" xfId="513" applyNumberFormat="1" applyFont="1" applyFill="1" applyBorder="1" applyAlignment="1" applyProtection="1">
      <alignment horizontal="center" vertical="center"/>
      <protection locked="0"/>
    </xf>
    <xf numFmtId="1" fontId="16" fillId="83" borderId="43" xfId="513" applyNumberFormat="1" applyFont="1" applyFill="1" applyBorder="1" applyAlignment="1" applyProtection="1">
      <alignment horizontal="center" vertical="center"/>
      <protection locked="0"/>
    </xf>
    <xf numFmtId="49" fontId="16" fillId="83" borderId="29" xfId="513" applyNumberFormat="1" applyFont="1" applyFill="1" applyBorder="1" applyAlignment="1" applyProtection="1">
      <alignment horizontal="center" vertical="center" wrapText="1"/>
      <protection locked="0"/>
    </xf>
    <xf numFmtId="49" fontId="16" fillId="83" borderId="18" xfId="513" applyNumberFormat="1" applyFont="1" applyFill="1" applyBorder="1" applyAlignment="1" applyProtection="1">
      <alignment horizontal="center" vertical="center" wrapText="1"/>
      <protection locked="0"/>
    </xf>
    <xf numFmtId="49" fontId="16" fillId="83" borderId="56" xfId="513"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05" fillId="0" borderId="0" xfId="0" applyFont="1" applyAlignment="1">
      <alignment horizontal="center" vertical="center"/>
    </xf>
    <xf numFmtId="0" fontId="3" fillId="96" borderId="0" xfId="0" applyFont="1" applyFill="1" applyAlignment="1">
      <alignment horizontal="center" vertical="center"/>
    </xf>
    <xf numFmtId="1" fontId="3" fillId="0" borderId="0" xfId="0" applyNumberFormat="1" applyFont="1" applyAlignment="1">
      <alignment horizontal="center" vertical="center"/>
    </xf>
    <xf numFmtId="1" fontId="3" fillId="0" borderId="20" xfId="0" applyNumberFormat="1" applyFont="1" applyBorder="1" applyAlignment="1">
      <alignment horizontal="center" vertical="center"/>
    </xf>
    <xf numFmtId="1" fontId="16" fillId="0" borderId="29" xfId="513" applyNumberFormat="1" applyFont="1" applyBorder="1" applyAlignment="1">
      <alignment horizontal="center" vertical="center" wrapText="1"/>
    </xf>
    <xf numFmtId="1" fontId="16" fillId="0" borderId="56" xfId="513" applyNumberFormat="1" applyFont="1" applyBorder="1" applyAlignment="1">
      <alignment horizontal="center" vertical="center" wrapText="1"/>
    </xf>
    <xf numFmtId="0" fontId="21" fillId="72" borderId="23" xfId="0" applyFont="1" applyFill="1" applyBorder="1" applyAlignment="1" applyProtection="1">
      <alignment horizontal="left" vertical="center"/>
      <protection locked="0"/>
    </xf>
    <xf numFmtId="0" fontId="116" fillId="72" borderId="24" xfId="0" applyFont="1" applyFill="1" applyBorder="1" applyAlignment="1" applyProtection="1">
      <alignment horizontal="left" vertical="center"/>
      <protection locked="0"/>
    </xf>
    <xf numFmtId="0" fontId="116" fillId="72" borderId="25" xfId="0" applyFont="1" applyFill="1" applyBorder="1" applyAlignment="1" applyProtection="1">
      <alignment horizontal="left" vertical="center"/>
      <protection locked="0"/>
    </xf>
    <xf numFmtId="0" fontId="7" fillId="0" borderId="0" xfId="0" applyFont="1" applyAlignment="1">
      <alignment horizontal="justify" wrapText="1"/>
    </xf>
    <xf numFmtId="0" fontId="135" fillId="0" borderId="0" xfId="0" applyFont="1" applyAlignment="1">
      <alignment horizontal="justify" wrapText="1"/>
    </xf>
    <xf numFmtId="0" fontId="120" fillId="0" borderId="0" xfId="0" applyFont="1" applyAlignment="1">
      <alignment horizontal="left" vertical="center" wrapText="1"/>
    </xf>
    <xf numFmtId="0" fontId="121" fillId="0" borderId="35" xfId="0" applyFont="1" applyBorder="1" applyAlignment="1">
      <alignment horizontal="left" vertical="center" wrapText="1"/>
    </xf>
    <xf numFmtId="0" fontId="121" fillId="0" borderId="36" xfId="0" applyFont="1" applyBorder="1" applyAlignment="1">
      <alignment horizontal="left" vertical="center" wrapText="1"/>
    </xf>
    <xf numFmtId="0" fontId="117" fillId="0" borderId="0" xfId="0" applyFont="1" applyAlignment="1">
      <alignment horizontal="center" vertical="center"/>
    </xf>
    <xf numFmtId="0" fontId="122" fillId="0" borderId="0" xfId="0" applyFont="1" applyAlignment="1">
      <alignment horizontal="center" vertical="center"/>
    </xf>
    <xf numFmtId="14" fontId="123" fillId="33" borderId="18" xfId="513" applyNumberFormat="1" applyFont="1" applyFill="1" applyBorder="1" applyAlignment="1">
      <alignment horizontal="center" vertical="center"/>
    </xf>
    <xf numFmtId="0" fontId="128" fillId="0" borderId="26" xfId="0" applyFont="1" applyBorder="1" applyAlignment="1">
      <alignment horizontal="left" vertical="center"/>
    </xf>
    <xf numFmtId="0" fontId="128" fillId="0" borderId="20" xfId="0" applyFont="1" applyBorder="1" applyAlignment="1">
      <alignment horizontal="left" vertical="center"/>
    </xf>
    <xf numFmtId="0" fontId="116" fillId="0" borderId="20" xfId="0" applyFont="1" applyBorder="1" applyAlignment="1">
      <alignment horizontal="center" vertical="center"/>
    </xf>
    <xf numFmtId="0" fontId="100" fillId="0" borderId="26" xfId="0" applyFont="1" applyBorder="1" applyAlignment="1">
      <alignment horizontal="left" vertical="center"/>
    </xf>
    <xf numFmtId="0" fontId="121" fillId="0" borderId="20" xfId="0" applyFont="1" applyBorder="1" applyAlignment="1">
      <alignment horizontal="left" vertical="center"/>
    </xf>
    <xf numFmtId="0" fontId="121" fillId="0" borderId="38" xfId="0" applyFont="1" applyBorder="1" applyAlignment="1">
      <alignment horizontal="left" vertical="center"/>
    </xf>
    <xf numFmtId="0" fontId="116" fillId="0" borderId="89" xfId="0" applyFont="1" applyBorder="1" applyAlignment="1">
      <alignment horizontal="left" vertical="center"/>
    </xf>
    <xf numFmtId="0" fontId="116" fillId="0" borderId="24" xfId="0" applyFont="1" applyBorder="1" applyAlignment="1">
      <alignment horizontal="left" vertical="center"/>
    </xf>
    <xf numFmtId="0" fontId="122" fillId="0" borderId="18" xfId="513" applyFont="1" applyBorder="1" applyAlignment="1">
      <alignment horizontal="center" vertical="center" wrapText="1"/>
    </xf>
    <xf numFmtId="0" fontId="123" fillId="0" borderId="18" xfId="513" applyFont="1" applyBorder="1" applyAlignment="1">
      <alignment horizontal="center" vertical="center"/>
    </xf>
    <xf numFmtId="0" fontId="121" fillId="0" borderId="46" xfId="0" applyFont="1" applyBorder="1" applyAlignment="1">
      <alignment horizontal="left" vertical="center" wrapText="1"/>
    </xf>
    <xf numFmtId="0" fontId="121" fillId="0" borderId="68" xfId="0" applyFont="1" applyBorder="1" applyAlignment="1">
      <alignment horizontal="left" vertical="center" wrapText="1"/>
    </xf>
    <xf numFmtId="0" fontId="121" fillId="0" borderId="61" xfId="0" applyFont="1" applyBorder="1" applyAlignment="1">
      <alignment horizontal="left" vertical="center" wrapText="1"/>
    </xf>
    <xf numFmtId="0" fontId="121" fillId="0" borderId="94" xfId="0" applyFont="1" applyBorder="1" applyAlignment="1">
      <alignment horizontal="left" vertical="center" wrapText="1"/>
    </xf>
    <xf numFmtId="0" fontId="121" fillId="0" borderId="47" xfId="0" applyFont="1" applyBorder="1" applyAlignment="1">
      <alignment horizontal="left" vertical="center" wrapText="1"/>
    </xf>
    <xf numFmtId="0" fontId="121" fillId="0" borderId="64" xfId="0" applyFont="1" applyBorder="1" applyAlignment="1">
      <alignment horizontal="left" vertical="center" wrapText="1"/>
    </xf>
    <xf numFmtId="0" fontId="127" fillId="0" borderId="110" xfId="367" applyFont="1" applyFill="1" applyBorder="1" applyAlignment="1" applyProtection="1">
      <alignment horizontal="center" vertical="center" wrapText="1"/>
    </xf>
    <xf numFmtId="0" fontId="127" fillId="0" borderId="111" xfId="367" applyFont="1" applyFill="1" applyBorder="1" applyAlignment="1" applyProtection="1">
      <alignment horizontal="center" vertical="center" wrapText="1"/>
    </xf>
    <xf numFmtId="0" fontId="127" fillId="0" borderId="112" xfId="367" applyFont="1" applyFill="1" applyBorder="1" applyAlignment="1" applyProtection="1">
      <alignment horizontal="center" vertical="center" wrapText="1"/>
    </xf>
    <xf numFmtId="0" fontId="116" fillId="0" borderId="35" xfId="0" applyFont="1" applyBorder="1" applyAlignment="1">
      <alignment horizontal="left" vertical="center"/>
    </xf>
    <xf numFmtId="0" fontId="116" fillId="0" borderId="36" xfId="0" applyFont="1" applyBorder="1" applyAlignment="1">
      <alignment horizontal="left" vertical="center"/>
    </xf>
    <xf numFmtId="0" fontId="126" fillId="0" borderId="18" xfId="0" applyFont="1" applyBorder="1" applyAlignment="1">
      <alignment horizontal="center" vertical="center" wrapText="1"/>
    </xf>
    <xf numFmtId="0" fontId="125" fillId="0" borderId="59" xfId="0" applyFont="1" applyBorder="1" applyAlignment="1">
      <alignment horizontal="left" wrapText="1"/>
    </xf>
    <xf numFmtId="0" fontId="125" fillId="0" borderId="59" xfId="0" applyFont="1" applyBorder="1" applyAlignment="1">
      <alignment horizontal="left"/>
    </xf>
    <xf numFmtId="0" fontId="125" fillId="0" borderId="0" xfId="0" applyFont="1" applyAlignment="1">
      <alignment horizontal="left"/>
    </xf>
    <xf numFmtId="0" fontId="120" fillId="0" borderId="0" xfId="0" applyFont="1" applyAlignment="1">
      <alignment horizontal="left" vertical="top" wrapText="1"/>
    </xf>
    <xf numFmtId="0" fontId="3" fillId="83" borderId="18" xfId="513" applyFill="1" applyBorder="1" applyAlignment="1" applyProtection="1">
      <alignment horizontal="center" vertical="center"/>
      <protection locked="0"/>
    </xf>
    <xf numFmtId="0" fontId="122" fillId="83" borderId="18" xfId="513" applyFont="1" applyFill="1" applyBorder="1" applyAlignment="1" applyProtection="1">
      <alignment horizontal="center" vertical="center"/>
      <protection locked="0"/>
    </xf>
    <xf numFmtId="0" fontId="117" fillId="0" borderId="23" xfId="0" applyFont="1" applyBorder="1" applyAlignment="1">
      <alignment horizontal="center" vertical="center"/>
    </xf>
    <xf numFmtId="0" fontId="117" fillId="0" borderId="24" xfId="0" applyFont="1" applyBorder="1" applyAlignment="1">
      <alignment horizontal="center" vertical="center"/>
    </xf>
    <xf numFmtId="0" fontId="117" fillId="0" borderId="25" xfId="0" applyFont="1" applyBorder="1" applyAlignment="1">
      <alignment horizontal="center" vertical="center"/>
    </xf>
    <xf numFmtId="0" fontId="21" fillId="0" borderId="23" xfId="0" applyFont="1" applyBorder="1" applyAlignment="1">
      <alignment horizontal="center" vertical="center"/>
    </xf>
    <xf numFmtId="0" fontId="116" fillId="0" borderId="24" xfId="0" applyFont="1" applyBorder="1" applyAlignment="1">
      <alignment horizontal="center" vertical="center"/>
    </xf>
    <xf numFmtId="0" fontId="116" fillId="0" borderId="25" xfId="0" applyFont="1" applyBorder="1" applyAlignment="1">
      <alignment horizontal="center" vertical="center"/>
    </xf>
    <xf numFmtId="0" fontId="122" fillId="0" borderId="18" xfId="513" applyFont="1" applyBorder="1" applyAlignment="1">
      <alignment horizontal="center" vertical="center"/>
    </xf>
    <xf numFmtId="0" fontId="3" fillId="0" borderId="23" xfId="513" applyBorder="1" applyAlignment="1">
      <alignment horizontal="center" vertical="center" wrapText="1"/>
    </xf>
    <xf numFmtId="0" fontId="122" fillId="0" borderId="24" xfId="513" applyFont="1" applyBorder="1" applyAlignment="1">
      <alignment horizontal="center" vertical="center" wrapText="1"/>
    </xf>
    <xf numFmtId="0" fontId="122" fillId="0" borderId="25" xfId="513" applyFont="1" applyBorder="1" applyAlignment="1">
      <alignment horizontal="center" vertical="center" wrapText="1"/>
    </xf>
    <xf numFmtId="0" fontId="123" fillId="84" borderId="18" xfId="513" applyFont="1" applyFill="1" applyBorder="1" applyAlignment="1" applyProtection="1">
      <alignment horizontal="center" vertical="center" wrapText="1"/>
      <protection locked="0"/>
    </xf>
    <xf numFmtId="0" fontId="7" fillId="0" borderId="0" xfId="0" applyFont="1" applyAlignment="1">
      <alignment horizontal="left" vertical="top" wrapText="1"/>
    </xf>
    <xf numFmtId="0" fontId="129" fillId="0" borderId="0" xfId="0" applyFont="1" applyAlignment="1">
      <alignment horizontal="left" vertical="top" wrapText="1"/>
    </xf>
    <xf numFmtId="0" fontId="126" fillId="0" borderId="22" xfId="0" applyFont="1" applyBorder="1" applyAlignment="1">
      <alignment horizontal="center" textRotation="90" wrapText="1"/>
    </xf>
    <xf numFmtId="0" fontId="126" fillId="0" borderId="29" xfId="0" applyFont="1" applyBorder="1" applyAlignment="1">
      <alignment horizontal="center" textRotation="90"/>
    </xf>
    <xf numFmtId="0" fontId="126" fillId="0" borderId="18" xfId="0" applyFont="1" applyBorder="1" applyAlignment="1">
      <alignment horizontal="center" textRotation="90"/>
    </xf>
    <xf numFmtId="0" fontId="116" fillId="0" borderId="45" xfId="0" applyFont="1" applyBorder="1" applyAlignment="1">
      <alignment horizontal="left" vertical="center"/>
    </xf>
    <xf numFmtId="0" fontId="116" fillId="0" borderId="109" xfId="0" applyFont="1" applyBorder="1" applyAlignment="1">
      <alignment horizontal="left" vertical="center"/>
    </xf>
    <xf numFmtId="0" fontId="116" fillId="0" borderId="62" xfId="0" applyFont="1" applyBorder="1" applyAlignment="1">
      <alignment horizontal="left" vertical="center" wrapText="1"/>
    </xf>
    <xf numFmtId="0" fontId="116" fillId="0" borderId="30" xfId="0" applyFont="1" applyBorder="1" applyAlignment="1">
      <alignment horizontal="left" vertical="center" wrapText="1"/>
    </xf>
    <xf numFmtId="0" fontId="14" fillId="0" borderId="45" xfId="0" applyFont="1" applyBorder="1" applyAlignment="1">
      <alignment horizontal="left" vertical="center"/>
    </xf>
    <xf numFmtId="0" fontId="121" fillId="0" borderId="27" xfId="0" applyFont="1" applyBorder="1" applyAlignment="1">
      <alignment horizontal="left" vertical="center"/>
    </xf>
    <xf numFmtId="0" fontId="121" fillId="0" borderId="26" xfId="0" applyFont="1" applyBorder="1" applyAlignment="1">
      <alignment horizontal="left" vertical="center"/>
    </xf>
    <xf numFmtId="0" fontId="21" fillId="0" borderId="88" xfId="0" applyFont="1" applyBorder="1" applyAlignment="1">
      <alignment horizontal="left" vertical="center"/>
    </xf>
    <xf numFmtId="0" fontId="116" fillId="0" borderId="48" xfId="0" applyFont="1" applyBorder="1" applyAlignment="1">
      <alignment horizontal="left" vertical="center"/>
    </xf>
    <xf numFmtId="0" fontId="21" fillId="0" borderId="89" xfId="0" applyFont="1" applyBorder="1" applyAlignment="1">
      <alignment horizontal="left" vertical="center"/>
    </xf>
    <xf numFmtId="0" fontId="116" fillId="0" borderId="25" xfId="0" applyFont="1" applyBorder="1" applyAlignment="1">
      <alignment horizontal="left" vertical="center"/>
    </xf>
    <xf numFmtId="0" fontId="100" fillId="0" borderId="90" xfId="0" applyFont="1" applyBorder="1" applyAlignment="1">
      <alignment horizontal="left" vertical="center"/>
    </xf>
    <xf numFmtId="0" fontId="116" fillId="0" borderId="32" xfId="0" applyFont="1" applyBorder="1" applyAlignment="1">
      <alignment horizontal="left" vertical="center"/>
    </xf>
    <xf numFmtId="0" fontId="7" fillId="0" borderId="0" xfId="0" applyFont="1" applyAlignment="1">
      <alignment horizontal="justify" vertical="top" wrapText="1"/>
    </xf>
    <xf numFmtId="0" fontId="135" fillId="0" borderId="0" xfId="0" applyFont="1" applyAlignment="1">
      <alignment horizontal="justify" vertical="top" wrapText="1"/>
    </xf>
    <xf numFmtId="0" fontId="28" fillId="0" borderId="62" xfId="0" applyFont="1" applyBorder="1" applyAlignment="1">
      <alignment horizontal="center" vertical="center" wrapText="1"/>
    </xf>
    <xf numFmtId="0" fontId="126" fillId="0" borderId="55" xfId="0" applyFont="1" applyBorder="1" applyAlignment="1">
      <alignment horizontal="center" vertical="center" wrapText="1"/>
    </xf>
    <xf numFmtId="0" fontId="126" fillId="0" borderId="30" xfId="0" applyFont="1" applyBorder="1" applyAlignment="1">
      <alignment horizontal="center" vertical="center" wrapText="1"/>
    </xf>
    <xf numFmtId="0" fontId="7" fillId="0" borderId="0" xfId="0" applyFont="1" applyAlignment="1">
      <alignment horizontal="left" vertical="center" wrapText="1"/>
    </xf>
    <xf numFmtId="0" fontId="129" fillId="0" borderId="0" xfId="0" applyFont="1" applyAlignment="1">
      <alignment horizontal="left" vertical="center" wrapText="1"/>
    </xf>
    <xf numFmtId="0" fontId="124" fillId="0" borderId="0" xfId="0" applyFont="1" applyAlignment="1">
      <alignment horizontal="left" vertical="center"/>
    </xf>
    <xf numFmtId="0" fontId="123" fillId="33" borderId="18" xfId="513" applyFont="1" applyFill="1" applyBorder="1" applyAlignment="1">
      <alignment vertical="center"/>
    </xf>
    <xf numFmtId="0" fontId="116" fillId="33" borderId="18" xfId="0" applyFont="1" applyFill="1" applyBorder="1" applyAlignment="1">
      <alignment vertical="center"/>
    </xf>
    <xf numFmtId="0" fontId="123" fillId="84" borderId="23" xfId="513" applyFont="1" applyFill="1" applyBorder="1" applyAlignment="1" applyProtection="1">
      <alignment horizontal="left" vertical="center"/>
      <protection locked="0"/>
    </xf>
    <xf numFmtId="0" fontId="123" fillId="84" borderId="24" xfId="513" applyFont="1" applyFill="1" applyBorder="1" applyAlignment="1" applyProtection="1">
      <alignment horizontal="left" vertical="center"/>
      <protection locked="0"/>
    </xf>
    <xf numFmtId="0" fontId="123" fillId="84" borderId="25" xfId="513" applyFont="1" applyFill="1" applyBorder="1" applyAlignment="1" applyProtection="1">
      <alignment horizontal="left" vertical="center"/>
      <protection locked="0"/>
    </xf>
    <xf numFmtId="14" fontId="123" fillId="72" borderId="23" xfId="513" applyNumberFormat="1" applyFont="1" applyFill="1" applyBorder="1" applyAlignment="1" applyProtection="1">
      <alignment horizontal="center" vertical="center"/>
      <protection locked="0"/>
    </xf>
    <xf numFmtId="14" fontId="123" fillId="72" borderId="24" xfId="513" applyNumberFormat="1" applyFont="1" applyFill="1" applyBorder="1" applyAlignment="1" applyProtection="1">
      <alignment horizontal="center" vertical="center"/>
      <protection locked="0"/>
    </xf>
    <xf numFmtId="0" fontId="123" fillId="72" borderId="25" xfId="513" applyFont="1" applyFill="1" applyBorder="1" applyAlignment="1" applyProtection="1">
      <alignment horizontal="center" vertical="center"/>
      <protection locked="0"/>
    </xf>
    <xf numFmtId="0" fontId="135" fillId="0" borderId="0" xfId="0" applyFont="1" applyAlignment="1">
      <alignment horizontal="left" vertical="top" wrapText="1"/>
    </xf>
    <xf numFmtId="0" fontId="130" fillId="0" borderId="0" xfId="0" applyFont="1" applyAlignment="1">
      <alignment horizontal="left" vertical="center" wrapText="1"/>
    </xf>
    <xf numFmtId="0" fontId="131" fillId="0" borderId="0" xfId="0" applyFont="1" applyAlignment="1">
      <alignment horizontal="left" vertical="center" wrapText="1"/>
    </xf>
    <xf numFmtId="0" fontId="93" fillId="0" borderId="0" xfId="0" applyFont="1" applyAlignment="1">
      <alignment horizontal="justify" vertical="top" wrapText="1"/>
    </xf>
    <xf numFmtId="0" fontId="132" fillId="0" borderId="0" xfId="0" applyFont="1" applyAlignment="1">
      <alignment horizontal="justify" vertical="top" wrapText="1"/>
    </xf>
    <xf numFmtId="0" fontId="126" fillId="0" borderId="90" xfId="0" applyFont="1" applyBorder="1" applyAlignment="1">
      <alignment horizontal="left" vertical="center"/>
    </xf>
    <xf numFmtId="0" fontId="126" fillId="0" borderId="32" xfId="0" applyFont="1" applyBorder="1" applyAlignment="1">
      <alignment horizontal="left" vertical="center"/>
    </xf>
    <xf numFmtId="0" fontId="93" fillId="0" borderId="0" xfId="0" applyFont="1" applyAlignment="1">
      <alignment horizontal="left" wrapText="1"/>
    </xf>
    <xf numFmtId="0" fontId="0" fillId="0" borderId="0" xfId="0" applyAlignment="1">
      <alignment horizontal="left" wrapText="1"/>
    </xf>
    <xf numFmtId="0" fontId="100" fillId="0" borderId="62" xfId="0" applyFont="1" applyBorder="1" applyAlignment="1">
      <alignment horizontal="center" vertical="center" wrapText="1"/>
    </xf>
    <xf numFmtId="0" fontId="100" fillId="0" borderId="31" xfId="0" applyFont="1" applyBorder="1" applyAlignment="1">
      <alignment horizontal="center" vertical="center" wrapText="1"/>
    </xf>
    <xf numFmtId="0" fontId="100" fillId="0" borderId="55" xfId="0" applyFont="1" applyBorder="1" applyAlignment="1">
      <alignment horizontal="center" vertical="center" wrapText="1"/>
    </xf>
    <xf numFmtId="0" fontId="100" fillId="0" borderId="56" xfId="0" applyFont="1" applyBorder="1" applyAlignment="1">
      <alignment horizontal="center" vertical="center" wrapText="1"/>
    </xf>
    <xf numFmtId="0" fontId="100" fillId="0" borderId="63"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71" xfId="0" applyFont="1" applyBorder="1" applyAlignment="1">
      <alignment horizontal="center" vertical="center" wrapText="1"/>
    </xf>
    <xf numFmtId="0" fontId="16" fillId="0" borderId="49"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72" xfId="0" applyFont="1" applyBorder="1" applyAlignment="1">
      <alignment horizontal="center" vertical="center" wrapText="1"/>
    </xf>
    <xf numFmtId="0" fontId="16" fillId="0" borderId="0" xfId="0" applyFont="1" applyAlignment="1">
      <alignment horizontal="left" vertical="center" wrapText="1"/>
    </xf>
    <xf numFmtId="0" fontId="16" fillId="0" borderId="65" xfId="0" applyFont="1" applyBorder="1" applyAlignment="1">
      <alignment horizontal="center" vertical="center" wrapText="1"/>
    </xf>
    <xf numFmtId="0" fontId="16" fillId="0" borderId="70" xfId="0" applyFont="1" applyBorder="1" applyAlignment="1">
      <alignment horizontal="center" vertical="center" wrapText="1"/>
    </xf>
    <xf numFmtId="1" fontId="25" fillId="71" borderId="38" xfId="0" applyNumberFormat="1" applyFont="1" applyFill="1" applyBorder="1" applyAlignment="1">
      <alignment horizontal="center" vertical="center"/>
    </xf>
    <xf numFmtId="1" fontId="0" fillId="71" borderId="28" xfId="0" applyNumberFormat="1" applyFill="1" applyBorder="1" applyAlignment="1">
      <alignment horizontal="center" vertical="center"/>
    </xf>
    <xf numFmtId="1" fontId="0" fillId="71" borderId="44" xfId="0" applyNumberFormat="1" applyFill="1" applyBorder="1" applyAlignment="1">
      <alignment horizontal="center" vertical="center"/>
    </xf>
    <xf numFmtId="0" fontId="46" fillId="85" borderId="38" xfId="0" quotePrefix="1" applyFont="1" applyFill="1" applyBorder="1" applyAlignment="1">
      <alignment horizontal="center" vertical="center" wrapText="1"/>
    </xf>
    <xf numFmtId="0" fontId="46" fillId="85" borderId="28" xfId="0" applyFont="1" applyFill="1" applyBorder="1" applyAlignment="1">
      <alignment horizontal="center" vertical="center" wrapText="1"/>
    </xf>
    <xf numFmtId="0" fontId="46" fillId="85" borderId="44" xfId="0" applyFont="1" applyFill="1" applyBorder="1" applyAlignment="1">
      <alignment horizontal="center" vertical="center" wrapText="1"/>
    </xf>
    <xf numFmtId="0" fontId="16" fillId="72" borderId="38" xfId="0" quotePrefix="1" applyFont="1" applyFill="1" applyBorder="1" applyAlignment="1" applyProtection="1">
      <alignment horizontal="left" vertical="center" wrapText="1"/>
      <protection locked="0"/>
    </xf>
    <xf numFmtId="0" fontId="16" fillId="72" borderId="28" xfId="0" applyFont="1" applyFill="1" applyBorder="1" applyAlignment="1" applyProtection="1">
      <alignment horizontal="left" vertical="center" wrapText="1"/>
      <protection locked="0"/>
    </xf>
    <xf numFmtId="0" fontId="16" fillId="72" borderId="44" xfId="0" applyFont="1" applyFill="1" applyBorder="1" applyAlignment="1" applyProtection="1">
      <alignment horizontal="left" vertical="center" wrapText="1"/>
      <protection locked="0"/>
    </xf>
    <xf numFmtId="0" fontId="21" fillId="72" borderId="38" xfId="0" applyFont="1" applyFill="1" applyBorder="1" applyAlignment="1" applyProtection="1">
      <alignment horizontal="left" vertical="center" wrapText="1"/>
      <protection locked="0"/>
    </xf>
    <xf numFmtId="0" fontId="16" fillId="86" borderId="20" xfId="0" applyFont="1" applyFill="1" applyBorder="1" applyAlignment="1" applyProtection="1">
      <alignment horizontal="left" vertical="center" wrapText="1"/>
      <protection locked="0"/>
    </xf>
    <xf numFmtId="49" fontId="13" fillId="0" borderId="38" xfId="0" applyNumberFormat="1" applyFont="1" applyBorder="1" applyAlignment="1">
      <alignment horizontal="center" vertical="center" wrapText="1" readingOrder="1"/>
    </xf>
    <xf numFmtId="49" fontId="13" fillId="0" borderId="28" xfId="0" applyNumberFormat="1" applyFont="1" applyBorder="1" applyAlignment="1">
      <alignment horizontal="center" vertical="center" wrapText="1" readingOrder="1"/>
    </xf>
    <xf numFmtId="49" fontId="13" fillId="0" borderId="44" xfId="0" applyNumberFormat="1" applyFont="1" applyBorder="1" applyAlignment="1">
      <alignment horizontal="center" vertical="center" wrapText="1" readingOrder="1"/>
    </xf>
    <xf numFmtId="0" fontId="13" fillId="0" borderId="38" xfId="0" applyFont="1" applyBorder="1" applyAlignment="1">
      <alignment horizontal="left" vertical="center" wrapText="1" readingOrder="1"/>
    </xf>
    <xf numFmtId="0" fontId="13" fillId="0" borderId="28" xfId="0" applyFont="1" applyBorder="1" applyAlignment="1">
      <alignment horizontal="left" vertical="center" wrapText="1" readingOrder="1"/>
    </xf>
    <xf numFmtId="0" fontId="13" fillId="0" borderId="44" xfId="0" applyFont="1" applyBorder="1" applyAlignment="1">
      <alignment horizontal="left" vertical="center" wrapText="1" readingOrder="1"/>
    </xf>
    <xf numFmtId="0" fontId="13" fillId="0" borderId="46" xfId="0" quotePrefix="1" applyFont="1" applyBorder="1" applyAlignment="1">
      <alignment horizontal="left" vertical="center" wrapText="1" readingOrder="1"/>
    </xf>
    <xf numFmtId="0" fontId="13" fillId="0" borderId="68" xfId="0" applyFont="1" applyBorder="1" applyAlignment="1">
      <alignment horizontal="left" vertical="center" wrapText="1" readingOrder="1"/>
    </xf>
    <xf numFmtId="0" fontId="13" fillId="0" borderId="61" xfId="0" applyFont="1" applyBorder="1" applyAlignment="1">
      <alignment horizontal="left" vertical="center" wrapText="1" readingOrder="1"/>
    </xf>
    <xf numFmtId="0" fontId="13" fillId="0" borderId="94" xfId="0" applyFont="1" applyBorder="1" applyAlignment="1">
      <alignment horizontal="left" vertical="center" wrapText="1" readingOrder="1"/>
    </xf>
    <xf numFmtId="0" fontId="13" fillId="0" borderId="47" xfId="0" applyFont="1" applyBorder="1" applyAlignment="1">
      <alignment horizontal="left" vertical="center" wrapText="1" readingOrder="1"/>
    </xf>
    <xf numFmtId="0" fontId="13" fillId="0" borderId="64" xfId="0" applyFont="1" applyBorder="1" applyAlignment="1">
      <alignment horizontal="left" vertical="center" wrapText="1" readingOrder="1"/>
    </xf>
    <xf numFmtId="0" fontId="13" fillId="0" borderId="46" xfId="0" applyFont="1" applyBorder="1" applyAlignment="1">
      <alignment horizontal="left" vertical="center" wrapText="1" readingOrder="1"/>
    </xf>
    <xf numFmtId="0" fontId="104" fillId="0" borderId="38" xfId="0" applyFont="1" applyBorder="1" applyAlignment="1">
      <alignment horizontal="center" vertical="center" wrapText="1" readingOrder="1"/>
    </xf>
    <xf numFmtId="0" fontId="104" fillId="0" borderId="28" xfId="0" applyFont="1" applyBorder="1" applyAlignment="1">
      <alignment horizontal="center" vertical="center" wrapText="1" readingOrder="1"/>
    </xf>
    <xf numFmtId="0" fontId="104" fillId="0" borderId="44" xfId="0" applyFont="1" applyBorder="1" applyAlignment="1">
      <alignment horizontal="center" vertical="center" wrapText="1" readingOrder="1"/>
    </xf>
    <xf numFmtId="0" fontId="59" fillId="0" borderId="46" xfId="0" applyFont="1" applyBorder="1" applyAlignment="1">
      <alignment horizontal="center" vertical="center" wrapText="1" readingOrder="1"/>
    </xf>
    <xf numFmtId="0" fontId="59" fillId="0" borderId="68" xfId="0" applyFont="1" applyBorder="1" applyAlignment="1">
      <alignment horizontal="center" vertical="center" wrapText="1" readingOrder="1"/>
    </xf>
    <xf numFmtId="0" fontId="59" fillId="0" borderId="61" xfId="0" applyFont="1" applyBorder="1" applyAlignment="1">
      <alignment horizontal="center" vertical="center" wrapText="1" readingOrder="1"/>
    </xf>
    <xf numFmtId="0" fontId="59" fillId="0" borderId="94" xfId="0" applyFont="1" applyBorder="1" applyAlignment="1">
      <alignment horizontal="center" vertical="center" wrapText="1" readingOrder="1"/>
    </xf>
    <xf numFmtId="0" fontId="59" fillId="0" borderId="47" xfId="0" applyFont="1" applyBorder="1" applyAlignment="1">
      <alignment horizontal="center" vertical="center" wrapText="1" readingOrder="1"/>
    </xf>
    <xf numFmtId="0" fontId="59" fillId="0" borderId="64" xfId="0" applyFont="1" applyBorder="1" applyAlignment="1">
      <alignment horizontal="center" vertical="center" wrapText="1" readingOrder="1"/>
    </xf>
    <xf numFmtId="0" fontId="13" fillId="0" borderId="38"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4" xfId="0" applyFont="1" applyBorder="1" applyAlignment="1">
      <alignment horizontal="center" vertical="center" wrapText="1"/>
    </xf>
    <xf numFmtId="49" fontId="7" fillId="0" borderId="38" xfId="0" applyNumberFormat="1" applyFont="1" applyBorder="1" applyAlignment="1">
      <alignment horizontal="center" vertical="center" wrapText="1" readingOrder="1"/>
    </xf>
    <xf numFmtId="49" fontId="7" fillId="0" borderId="28" xfId="0" applyNumberFormat="1" applyFont="1" applyBorder="1" applyAlignment="1">
      <alignment horizontal="center" vertical="center" wrapText="1" readingOrder="1"/>
    </xf>
    <xf numFmtId="49" fontId="7" fillId="0" borderId="44" xfId="0" applyNumberFormat="1" applyFont="1" applyBorder="1" applyAlignment="1">
      <alignment horizontal="center" vertical="center" wrapText="1" readingOrder="1"/>
    </xf>
    <xf numFmtId="0" fontId="7" fillId="0" borderId="38" xfId="0" applyFont="1" applyBorder="1" applyAlignment="1">
      <alignment horizontal="left" vertical="center" wrapText="1" readingOrder="1"/>
    </xf>
    <xf numFmtId="0" fontId="7" fillId="0" borderId="28" xfId="0" applyFont="1" applyBorder="1" applyAlignment="1">
      <alignment horizontal="left" vertical="center" wrapText="1" readingOrder="1"/>
    </xf>
    <xf numFmtId="0" fontId="7" fillId="0" borderId="44" xfId="0" applyFont="1" applyBorder="1" applyAlignment="1">
      <alignment horizontal="left" vertical="center" wrapText="1" readingOrder="1"/>
    </xf>
    <xf numFmtId="0" fontId="7" fillId="0" borderId="46" xfId="0" applyFont="1" applyBorder="1" applyAlignment="1">
      <alignment horizontal="left" vertical="center" wrapText="1" readingOrder="1"/>
    </xf>
    <xf numFmtId="0" fontId="7" fillId="0" borderId="68" xfId="0" applyFont="1" applyBorder="1" applyAlignment="1">
      <alignment horizontal="left" vertical="center" wrapText="1" readingOrder="1"/>
    </xf>
    <xf numFmtId="0" fontId="7" fillId="0" borderId="61" xfId="0" applyFont="1" applyBorder="1" applyAlignment="1">
      <alignment horizontal="left" vertical="center" wrapText="1" readingOrder="1"/>
    </xf>
    <xf numFmtId="0" fontId="7" fillId="0" borderId="94" xfId="0" applyFont="1" applyBorder="1" applyAlignment="1">
      <alignment horizontal="left" vertical="center" wrapText="1" readingOrder="1"/>
    </xf>
    <xf numFmtId="0" fontId="7" fillId="0" borderId="47" xfId="0" applyFont="1" applyBorder="1" applyAlignment="1">
      <alignment horizontal="left" vertical="center" wrapText="1" readingOrder="1"/>
    </xf>
    <xf numFmtId="0" fontId="7" fillId="0" borderId="64" xfId="0" applyFont="1" applyBorder="1" applyAlignment="1">
      <alignment horizontal="left" vertical="center" wrapText="1" readingOrder="1"/>
    </xf>
    <xf numFmtId="0" fontId="7" fillId="0" borderId="20" xfId="0" applyFont="1" applyBorder="1" applyAlignment="1">
      <alignment horizontal="left" vertical="center" wrapText="1" readingOrder="1"/>
    </xf>
    <xf numFmtId="0" fontId="60" fillId="0" borderId="38" xfId="0" applyFont="1" applyBorder="1" applyAlignment="1">
      <alignment horizontal="center" vertical="center" wrapText="1" readingOrder="1"/>
    </xf>
    <xf numFmtId="0" fontId="60" fillId="0" borderId="28" xfId="0" applyFont="1" applyBorder="1" applyAlignment="1">
      <alignment horizontal="center" vertical="center" wrapText="1" readingOrder="1"/>
    </xf>
    <xf numFmtId="0" fontId="60" fillId="0" borderId="44" xfId="0" applyFont="1" applyBorder="1" applyAlignment="1">
      <alignment horizontal="center" vertical="center" wrapText="1" readingOrder="1"/>
    </xf>
    <xf numFmtId="9" fontId="60" fillId="0" borderId="20" xfId="0" applyNumberFormat="1" applyFont="1" applyBorder="1" applyAlignment="1">
      <alignment horizontal="center" vertical="center" wrapText="1" readingOrder="1"/>
    </xf>
    <xf numFmtId="0" fontId="60" fillId="0" borderId="20" xfId="0" applyFont="1" applyBorder="1" applyAlignment="1">
      <alignment horizontal="center" vertical="center" wrapText="1" readingOrder="1"/>
    </xf>
    <xf numFmtId="0" fontId="46" fillId="85" borderId="38" xfId="0" applyFont="1" applyFill="1" applyBorder="1" applyAlignment="1">
      <alignment horizontal="center" vertical="center" wrapText="1"/>
    </xf>
    <xf numFmtId="0" fontId="21" fillId="72" borderId="38" xfId="0" quotePrefix="1" applyFont="1" applyFill="1" applyBorder="1" applyAlignment="1" applyProtection="1">
      <alignment horizontal="left" vertical="center" wrapText="1"/>
      <protection locked="0"/>
    </xf>
    <xf numFmtId="0" fontId="16" fillId="72" borderId="20" xfId="0" applyFont="1" applyFill="1" applyBorder="1" applyAlignment="1" applyProtection="1">
      <alignment horizontal="left" vertical="center" wrapText="1"/>
      <protection locked="0"/>
    </xf>
    <xf numFmtId="0" fontId="13" fillId="0" borderId="46" xfId="0" applyFont="1" applyBorder="1" applyAlignment="1">
      <alignment horizontal="center" vertical="center" wrapText="1" readingOrder="1"/>
    </xf>
    <xf numFmtId="49" fontId="13" fillId="0" borderId="68" xfId="0" applyNumberFormat="1" applyFont="1" applyBorder="1" applyAlignment="1">
      <alignment horizontal="center" vertical="center" wrapText="1" readingOrder="1"/>
    </xf>
    <xf numFmtId="49" fontId="13" fillId="0" borderId="61" xfId="0" applyNumberFormat="1" applyFont="1" applyBorder="1" applyAlignment="1">
      <alignment horizontal="center" vertical="center" wrapText="1" readingOrder="1"/>
    </xf>
    <xf numFmtId="49" fontId="13" fillId="0" borderId="94" xfId="0" applyNumberFormat="1" applyFont="1" applyBorder="1" applyAlignment="1">
      <alignment horizontal="center" vertical="center" wrapText="1" readingOrder="1"/>
    </xf>
    <xf numFmtId="49" fontId="13" fillId="0" borderId="47" xfId="0" applyNumberFormat="1" applyFont="1" applyBorder="1" applyAlignment="1">
      <alignment horizontal="center" vertical="center" wrapText="1" readingOrder="1"/>
    </xf>
    <xf numFmtId="49" fontId="13" fillId="0" borderId="64" xfId="0" applyNumberFormat="1" applyFont="1" applyBorder="1" applyAlignment="1">
      <alignment horizontal="center" vertical="center" wrapText="1" readingOrder="1"/>
    </xf>
    <xf numFmtId="49" fontId="24" fillId="0" borderId="38" xfId="0" applyNumberFormat="1" applyFont="1" applyBorder="1" applyAlignment="1">
      <alignment horizontal="center" vertical="center" wrapText="1" readingOrder="1"/>
    </xf>
    <xf numFmtId="0" fontId="13" fillId="0" borderId="20" xfId="0" applyFont="1" applyBorder="1" applyAlignment="1">
      <alignment horizontal="left" vertical="center" wrapText="1" readingOrder="1"/>
    </xf>
    <xf numFmtId="0" fontId="59" fillId="0" borderId="20" xfId="0" applyFont="1" applyBorder="1" applyAlignment="1">
      <alignment horizontal="center" vertical="center" wrapText="1" readingOrder="1"/>
    </xf>
    <xf numFmtId="0" fontId="104" fillId="0" borderId="20" xfId="0" applyFont="1" applyBorder="1" applyAlignment="1">
      <alignment horizontal="center" vertical="center" wrapText="1" readingOrder="1"/>
    </xf>
    <xf numFmtId="0" fontId="0" fillId="0" borderId="20" xfId="0" applyBorder="1" applyAlignment="1">
      <alignment horizontal="left" vertical="center" wrapText="1" readingOrder="1"/>
    </xf>
    <xf numFmtId="0" fontId="7" fillId="0" borderId="46" xfId="0" applyFont="1" applyBorder="1" applyAlignment="1">
      <alignment horizontal="center" vertical="center" wrapText="1" readingOrder="1"/>
    </xf>
    <xf numFmtId="49" fontId="7" fillId="0" borderId="68" xfId="0" applyNumberFormat="1" applyFont="1" applyBorder="1" applyAlignment="1">
      <alignment horizontal="center" vertical="center" wrapText="1" readingOrder="1"/>
    </xf>
    <xf numFmtId="49" fontId="7" fillId="0" borderId="61" xfId="0" applyNumberFormat="1" applyFont="1" applyBorder="1" applyAlignment="1">
      <alignment horizontal="center" vertical="center" wrapText="1" readingOrder="1"/>
    </xf>
    <xf numFmtId="49" fontId="7" fillId="0" borderId="94" xfId="0" applyNumberFormat="1" applyFont="1" applyBorder="1" applyAlignment="1">
      <alignment horizontal="center" vertical="center" wrapText="1" readingOrder="1"/>
    </xf>
    <xf numFmtId="49" fontId="7" fillId="0" borderId="47" xfId="0" applyNumberFormat="1" applyFont="1" applyBorder="1" applyAlignment="1">
      <alignment horizontal="center" vertical="center" wrapText="1" readingOrder="1"/>
    </xf>
    <xf numFmtId="49" fontId="7" fillId="0" borderId="64" xfId="0" applyNumberFormat="1" applyFont="1" applyBorder="1" applyAlignment="1">
      <alignment horizontal="center" vertical="center" wrapText="1" readingOrder="1"/>
    </xf>
    <xf numFmtId="0" fontId="0" fillId="0" borderId="68" xfId="0" applyBorder="1" applyAlignment="1">
      <alignment horizontal="left" vertical="center" wrapText="1" readingOrder="1"/>
    </xf>
    <xf numFmtId="0" fontId="0" fillId="0" borderId="94" xfId="0" applyBorder="1" applyAlignment="1">
      <alignment horizontal="left" vertical="center" wrapText="1" readingOrder="1"/>
    </xf>
    <xf numFmtId="0" fontId="0" fillId="0" borderId="64" xfId="0" applyBorder="1" applyAlignment="1">
      <alignment horizontal="left" vertical="center" wrapText="1" readingOrder="1"/>
    </xf>
    <xf numFmtId="9" fontId="113" fillId="0" borderId="38" xfId="0" applyNumberFormat="1" applyFont="1" applyBorder="1" applyAlignment="1">
      <alignment horizontal="center" vertical="center" wrapText="1" readingOrder="1"/>
    </xf>
    <xf numFmtId="0" fontId="113" fillId="0" borderId="28" xfId="0" applyFont="1" applyBorder="1" applyAlignment="1">
      <alignment horizontal="center" vertical="center" wrapText="1" readingOrder="1"/>
    </xf>
    <xf numFmtId="0" fontId="113" fillId="0" borderId="44" xfId="0" applyFont="1" applyBorder="1" applyAlignment="1">
      <alignment horizontal="center" vertical="center" wrapText="1" readingOrder="1"/>
    </xf>
    <xf numFmtId="0" fontId="105" fillId="0" borderId="20" xfId="0" applyFont="1" applyBorder="1" applyAlignment="1">
      <alignment horizontal="left" vertical="center" wrapText="1" readingOrder="1"/>
    </xf>
    <xf numFmtId="0" fontId="13" fillId="0" borderId="20" xfId="0" applyFont="1" applyBorder="1" applyAlignment="1">
      <alignment vertical="center" wrapText="1"/>
    </xf>
    <xf numFmtId="9" fontId="104" fillId="0" borderId="38" xfId="0" applyNumberFormat="1" applyFont="1" applyBorder="1" applyAlignment="1">
      <alignment horizontal="center" vertical="center" wrapText="1" readingOrder="1"/>
    </xf>
    <xf numFmtId="0" fontId="21" fillId="72" borderId="52" xfId="0" applyFont="1" applyFill="1" applyBorder="1" applyAlignment="1" applyProtection="1">
      <alignment horizontal="left" vertical="center" wrapText="1"/>
      <protection locked="0"/>
    </xf>
    <xf numFmtId="0" fontId="21" fillId="72" borderId="53" xfId="0" applyFont="1" applyFill="1" applyBorder="1" applyAlignment="1" applyProtection="1">
      <alignment horizontal="left" vertical="center" wrapText="1"/>
      <protection locked="0"/>
    </xf>
    <xf numFmtId="0" fontId="21" fillId="72" borderId="54" xfId="0" applyFont="1" applyFill="1" applyBorder="1" applyAlignment="1" applyProtection="1">
      <alignment horizontal="left" vertical="center" wrapText="1"/>
      <protection locked="0"/>
    </xf>
    <xf numFmtId="0" fontId="16" fillId="72" borderId="38" xfId="0" applyFont="1" applyFill="1" applyBorder="1" applyAlignment="1" applyProtection="1">
      <alignment horizontal="left" vertical="center" wrapText="1"/>
      <protection locked="0"/>
    </xf>
    <xf numFmtId="0" fontId="21" fillId="72" borderId="28" xfId="0" applyFont="1" applyFill="1" applyBorder="1" applyAlignment="1" applyProtection="1">
      <alignment horizontal="left" vertical="center" wrapText="1"/>
      <protection locked="0"/>
    </xf>
    <xf numFmtId="0" fontId="21" fillId="72" borderId="44" xfId="0" applyFont="1" applyFill="1" applyBorder="1" applyAlignment="1" applyProtection="1">
      <alignment horizontal="left" vertical="center" wrapText="1"/>
      <protection locked="0"/>
    </xf>
    <xf numFmtId="0" fontId="60" fillId="0" borderId="46" xfId="0" applyFont="1" applyBorder="1" applyAlignment="1">
      <alignment horizontal="center" vertical="center" wrapText="1" readingOrder="1"/>
    </xf>
    <xf numFmtId="0" fontId="60" fillId="0" borderId="68" xfId="0" applyFont="1" applyBorder="1" applyAlignment="1">
      <alignment horizontal="center" vertical="center" wrapText="1" readingOrder="1"/>
    </xf>
    <xf numFmtId="0" fontId="60" fillId="0" borderId="61" xfId="0" applyFont="1" applyBorder="1" applyAlignment="1">
      <alignment horizontal="center" vertical="center" wrapText="1" readingOrder="1"/>
    </xf>
    <xf numFmtId="0" fontId="60" fillId="0" borderId="94" xfId="0" applyFont="1" applyBorder="1" applyAlignment="1">
      <alignment horizontal="center" vertical="center" wrapText="1" readingOrder="1"/>
    </xf>
    <xf numFmtId="0" fontId="60" fillId="0" borderId="47" xfId="0" applyFont="1" applyBorder="1" applyAlignment="1">
      <alignment horizontal="center" vertical="center" wrapText="1" readingOrder="1"/>
    </xf>
    <xf numFmtId="0" fontId="60" fillId="0" borderId="64" xfId="0" applyFont="1" applyBorder="1" applyAlignment="1">
      <alignment horizontal="center" vertical="center" wrapText="1" readingOrder="1"/>
    </xf>
    <xf numFmtId="0" fontId="56" fillId="85" borderId="38" xfId="0" applyFont="1" applyFill="1" applyBorder="1" applyAlignment="1">
      <alignment horizontal="center" vertical="center" wrapText="1"/>
    </xf>
    <xf numFmtId="0" fontId="56" fillId="85" borderId="28" xfId="0" applyFont="1" applyFill="1" applyBorder="1" applyAlignment="1">
      <alignment horizontal="center" vertical="center" wrapText="1"/>
    </xf>
    <xf numFmtId="0" fontId="56" fillId="85" borderId="44" xfId="0" applyFont="1" applyFill="1" applyBorder="1" applyAlignment="1">
      <alignment horizontal="center" vertical="center" wrapText="1"/>
    </xf>
    <xf numFmtId="0" fontId="21" fillId="72" borderId="52" xfId="0" quotePrefix="1" applyFont="1" applyFill="1" applyBorder="1" applyAlignment="1" applyProtection="1">
      <alignment horizontal="left" vertical="center" wrapText="1"/>
      <protection locked="0"/>
    </xf>
    <xf numFmtId="0" fontId="28" fillId="0" borderId="45" xfId="0" applyFont="1" applyBorder="1" applyAlignment="1">
      <alignment horizontal="center" vertical="center"/>
    </xf>
    <xf numFmtId="0" fontId="28" fillId="0" borderId="26" xfId="0" applyFont="1" applyBorder="1" applyAlignment="1">
      <alignment horizontal="center" vertical="center"/>
    </xf>
    <xf numFmtId="9" fontId="59" fillId="0" borderId="20" xfId="0" applyNumberFormat="1" applyFont="1" applyBorder="1" applyAlignment="1">
      <alignment horizontal="center" vertical="center" wrapText="1" readingOrder="1"/>
    </xf>
    <xf numFmtId="0" fontId="106" fillId="0" borderId="38" xfId="0" applyFont="1" applyBorder="1" applyAlignment="1">
      <alignment horizontal="center" vertical="center" wrapText="1"/>
    </xf>
    <xf numFmtId="0" fontId="106" fillId="0" borderId="44" xfId="0" applyFont="1" applyBorder="1" applyAlignment="1">
      <alignment horizontal="center" vertical="center" wrapText="1"/>
    </xf>
    <xf numFmtId="0" fontId="13" fillId="0" borderId="95" xfId="0" quotePrefix="1" applyFont="1" applyBorder="1" applyAlignment="1">
      <alignment horizontal="left" vertical="center" wrapText="1" readingOrder="1"/>
    </xf>
    <xf numFmtId="0" fontId="13" fillId="0" borderId="0" xfId="0" applyFont="1" applyAlignment="1">
      <alignment horizontal="left" vertical="center" wrapText="1" readingOrder="1"/>
    </xf>
    <xf numFmtId="0" fontId="13" fillId="0" borderId="33" xfId="0" applyFont="1" applyBorder="1" applyAlignment="1">
      <alignment horizontal="left" vertical="center" wrapText="1" readingOrder="1"/>
    </xf>
    <xf numFmtId="0" fontId="28" fillId="0" borderId="38" xfId="0" applyFont="1" applyBorder="1" applyAlignment="1">
      <alignment horizontal="center" vertical="center" wrapText="1"/>
    </xf>
    <xf numFmtId="0" fontId="21" fillId="0" borderId="44" xfId="0" applyFont="1" applyBorder="1" applyAlignment="1">
      <alignment horizontal="center" vertical="center" wrapText="1"/>
    </xf>
    <xf numFmtId="0" fontId="7" fillId="82" borderId="46" xfId="372" applyFont="1" applyFill="1" applyBorder="1" applyAlignment="1">
      <alignment horizontal="left" vertical="center" wrapText="1" readingOrder="1"/>
    </xf>
    <xf numFmtId="0" fontId="7" fillId="82" borderId="68" xfId="372" applyFont="1" applyFill="1" applyBorder="1" applyAlignment="1">
      <alignment horizontal="left" vertical="center" wrapText="1" readingOrder="1"/>
    </xf>
    <xf numFmtId="0" fontId="7" fillId="82" borderId="61" xfId="372" applyFont="1" applyFill="1" applyBorder="1" applyAlignment="1">
      <alignment horizontal="left" vertical="center" wrapText="1" readingOrder="1"/>
    </xf>
    <xf numFmtId="0" fontId="7" fillId="82" borderId="94" xfId="372" applyFont="1" applyFill="1" applyBorder="1" applyAlignment="1">
      <alignment horizontal="left" vertical="center" wrapText="1" readingOrder="1"/>
    </xf>
    <xf numFmtId="0" fontId="7" fillId="82" borderId="47" xfId="372" applyFont="1" applyFill="1" applyBorder="1" applyAlignment="1">
      <alignment horizontal="left" vertical="center" wrapText="1" readingOrder="1"/>
    </xf>
    <xf numFmtId="0" fontId="7" fillId="82" borderId="64" xfId="372" applyFont="1" applyFill="1" applyBorder="1" applyAlignment="1">
      <alignment horizontal="left" vertical="center" wrapText="1" readingOrder="1"/>
    </xf>
    <xf numFmtId="0" fontId="7" fillId="0" borderId="46" xfId="372" applyFont="1" applyBorder="1" applyAlignment="1">
      <alignment horizontal="left" vertical="center" wrapText="1" readingOrder="1"/>
    </xf>
    <xf numFmtId="0" fontId="7" fillId="0" borderId="68" xfId="372" applyFont="1" applyBorder="1" applyAlignment="1">
      <alignment horizontal="left" vertical="center" wrapText="1" readingOrder="1"/>
    </xf>
    <xf numFmtId="0" fontId="7" fillId="0" borderId="61" xfId="372" applyFont="1" applyBorder="1" applyAlignment="1">
      <alignment horizontal="left" vertical="center" wrapText="1" readingOrder="1"/>
    </xf>
    <xf numFmtId="0" fontId="7" fillId="0" borderId="94" xfId="372" applyFont="1" applyBorder="1" applyAlignment="1">
      <alignment horizontal="left" vertical="center" wrapText="1" readingOrder="1"/>
    </xf>
    <xf numFmtId="0" fontId="7" fillId="0" borderId="47" xfId="372" applyFont="1" applyBorder="1" applyAlignment="1">
      <alignment horizontal="left" vertical="center" wrapText="1" readingOrder="1"/>
    </xf>
    <xf numFmtId="0" fontId="7" fillId="0" borderId="64" xfId="372" applyFont="1" applyBorder="1" applyAlignment="1">
      <alignment horizontal="left" vertical="center" wrapText="1" readingOrder="1"/>
    </xf>
    <xf numFmtId="0" fontId="28" fillId="0" borderId="46"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64" xfId="0" applyFont="1" applyBorder="1" applyAlignment="1">
      <alignment horizontal="center" vertical="center" wrapText="1"/>
    </xf>
    <xf numFmtId="0" fontId="13" fillId="0" borderId="62" xfId="0" applyFont="1" applyBorder="1" applyAlignment="1">
      <alignment horizontal="center" vertical="center" wrapText="1" readingOrder="1"/>
    </xf>
    <xf numFmtId="49" fontId="13" fillId="0" borderId="30" xfId="0" applyNumberFormat="1" applyFont="1" applyBorder="1" applyAlignment="1">
      <alignment horizontal="center" vertical="center" wrapText="1" readingOrder="1"/>
    </xf>
    <xf numFmtId="49" fontId="13" fillId="0" borderId="31" xfId="0" applyNumberFormat="1" applyFont="1" applyBorder="1" applyAlignment="1">
      <alignment horizontal="center" vertical="center" wrapText="1" readingOrder="1"/>
    </xf>
    <xf numFmtId="49" fontId="13" fillId="0" borderId="62" xfId="0" applyNumberFormat="1" applyFont="1" applyBorder="1" applyAlignment="1">
      <alignment horizontal="center" vertical="center" wrapText="1" readingOrder="1"/>
    </xf>
    <xf numFmtId="49" fontId="7" fillId="0" borderId="63" xfId="0" applyNumberFormat="1" applyFont="1" applyBorder="1" applyAlignment="1">
      <alignment horizontal="center" vertical="center" wrapText="1" readingOrder="1"/>
    </xf>
    <xf numFmtId="49" fontId="7" fillId="0" borderId="39" xfId="0" applyNumberFormat="1" applyFont="1" applyBorder="1" applyAlignment="1">
      <alignment horizontal="center" vertical="center" wrapText="1" readingOrder="1"/>
    </xf>
    <xf numFmtId="49" fontId="7" fillId="0" borderId="43" xfId="0" applyNumberFormat="1" applyFont="1" applyBorder="1" applyAlignment="1">
      <alignment horizontal="center" vertical="center" wrapText="1" readingOrder="1"/>
    </xf>
    <xf numFmtId="49" fontId="13" fillId="0" borderId="46" xfId="0" applyNumberFormat="1" applyFont="1" applyBorder="1" applyAlignment="1">
      <alignment horizontal="center" vertical="center" wrapText="1" readingOrder="1"/>
    </xf>
    <xf numFmtId="0" fontId="13" fillId="0" borderId="63" xfId="0" applyFont="1" applyBorder="1" applyAlignment="1">
      <alignment horizontal="center" vertical="center" wrapText="1" readingOrder="1"/>
    </xf>
    <xf numFmtId="49" fontId="13" fillId="0" borderId="39" xfId="0" applyNumberFormat="1" applyFont="1" applyBorder="1" applyAlignment="1">
      <alignment horizontal="center" vertical="center" wrapText="1" readingOrder="1"/>
    </xf>
    <xf numFmtId="49" fontId="13" fillId="0" borderId="43" xfId="0" applyNumberFormat="1" applyFont="1" applyBorder="1" applyAlignment="1">
      <alignment horizontal="center" vertical="center" wrapText="1" readingOrder="1"/>
    </xf>
    <xf numFmtId="49" fontId="13" fillId="0" borderId="63" xfId="0" applyNumberFormat="1" applyFont="1" applyBorder="1" applyAlignment="1">
      <alignment horizontal="center" vertical="center" wrapText="1" readingOrder="1"/>
    </xf>
    <xf numFmtId="0" fontId="93" fillId="0" borderId="38" xfId="0" applyFont="1" applyBorder="1" applyAlignment="1">
      <alignment horizontal="center" vertical="center"/>
    </xf>
    <xf numFmtId="0" fontId="93" fillId="0" borderId="28" xfId="0" applyFont="1" applyBorder="1" applyAlignment="1">
      <alignment horizontal="center" vertical="center"/>
    </xf>
    <xf numFmtId="0" fontId="93" fillId="0" borderId="44" xfId="0" applyFont="1" applyBorder="1" applyAlignment="1">
      <alignment horizontal="center" vertical="center"/>
    </xf>
    <xf numFmtId="0" fontId="13" fillId="0" borderId="39" xfId="0" applyFont="1" applyBorder="1" applyAlignment="1">
      <alignment horizontal="center" vertical="center" wrapText="1" readingOrder="1"/>
    </xf>
    <xf numFmtId="0" fontId="7" fillId="0" borderId="61" xfId="0" applyFont="1" applyBorder="1" applyAlignment="1">
      <alignment horizontal="center" vertical="center" wrapText="1" readingOrder="1"/>
    </xf>
    <xf numFmtId="0" fontId="7" fillId="0" borderId="47" xfId="0" applyFont="1" applyBorder="1" applyAlignment="1">
      <alignment horizontal="center" vertical="center" wrapText="1" readingOrder="1"/>
    </xf>
    <xf numFmtId="0" fontId="28" fillId="0" borderId="68"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0" fillId="0" borderId="20" xfId="0" applyBorder="1" applyAlignment="1">
      <alignment horizontal="center" vertical="center" wrapText="1"/>
    </xf>
    <xf numFmtId="0" fontId="61" fillId="0" borderId="20" xfId="0" applyFont="1" applyBorder="1" applyAlignment="1">
      <alignment horizontal="center" vertical="center" wrapText="1"/>
    </xf>
    <xf numFmtId="0" fontId="106" fillId="0" borderId="20" xfId="0" applyFont="1" applyBorder="1" applyAlignment="1">
      <alignment horizontal="center" vertical="center" wrapText="1"/>
    </xf>
    <xf numFmtId="0" fontId="10" fillId="30" borderId="23" xfId="513" applyFont="1" applyFill="1" applyBorder="1" applyAlignment="1">
      <alignment vertical="center"/>
    </xf>
    <xf numFmtId="0" fontId="0" fillId="0" borderId="25" xfId="0" applyBorder="1" applyAlignment="1">
      <alignment vertical="center"/>
    </xf>
    <xf numFmtId="0" fontId="10" fillId="30" borderId="18" xfId="513" applyFont="1" applyFill="1" applyBorder="1" applyAlignment="1">
      <alignment horizontal="left" vertical="center"/>
    </xf>
    <xf numFmtId="0" fontId="53" fillId="0" borderId="20" xfId="0" applyFont="1" applyBorder="1" applyAlignment="1">
      <alignment horizontal="left" vertical="center" wrapText="1" readingOrder="1"/>
    </xf>
    <xf numFmtId="49" fontId="107" fillId="0" borderId="38" xfId="0" applyNumberFormat="1" applyFont="1" applyBorder="1" applyAlignment="1">
      <alignment horizontal="center" vertical="center" wrapText="1" readingOrder="1"/>
    </xf>
    <xf numFmtId="0" fontId="112" fillId="0" borderId="38" xfId="0" applyFont="1" applyBorder="1" applyAlignment="1">
      <alignment horizontal="center" vertical="center" wrapText="1" readingOrder="1"/>
    </xf>
    <xf numFmtId="9" fontId="112" fillId="0" borderId="38" xfId="0" applyNumberFormat="1" applyFont="1" applyBorder="1" applyAlignment="1">
      <alignment horizontal="center" vertical="center" wrapText="1" readingOrder="1"/>
    </xf>
    <xf numFmtId="0" fontId="112" fillId="0" borderId="28" xfId="0" applyFont="1" applyBorder="1" applyAlignment="1">
      <alignment horizontal="center" vertical="center" wrapText="1" readingOrder="1"/>
    </xf>
    <xf numFmtId="0" fontId="112" fillId="0" borderId="44" xfId="0" applyFont="1" applyBorder="1" applyAlignment="1">
      <alignment horizontal="center" vertical="center" wrapText="1" readingOrder="1"/>
    </xf>
    <xf numFmtId="49" fontId="109" fillId="0" borderId="38" xfId="0" applyNumberFormat="1" applyFont="1" applyBorder="1" applyAlignment="1">
      <alignment horizontal="center" vertical="center" wrapText="1" readingOrder="1"/>
    </xf>
    <xf numFmtId="49" fontId="93" fillId="0" borderId="28" xfId="0" applyNumberFormat="1" applyFont="1" applyBorder="1" applyAlignment="1">
      <alignment horizontal="center" vertical="center" wrapText="1" readingOrder="1"/>
    </xf>
    <xf numFmtId="49" fontId="93" fillId="0" borderId="44" xfId="0" applyNumberFormat="1" applyFont="1" applyBorder="1" applyAlignment="1">
      <alignment horizontal="center" vertical="center" wrapText="1" readingOrder="1"/>
    </xf>
    <xf numFmtId="0" fontId="93" fillId="0" borderId="38" xfId="0" applyFont="1" applyBorder="1" applyAlignment="1">
      <alignment horizontal="left" vertical="center" wrapText="1" readingOrder="1"/>
    </xf>
    <xf numFmtId="0" fontId="93" fillId="0" borderId="28" xfId="0" applyFont="1" applyBorder="1" applyAlignment="1">
      <alignment horizontal="left" vertical="center" wrapText="1" readingOrder="1"/>
    </xf>
    <xf numFmtId="0" fontId="93" fillId="0" borderId="44" xfId="0" applyFont="1" applyBorder="1" applyAlignment="1">
      <alignment horizontal="left" vertical="center" wrapText="1" readingOrder="1"/>
    </xf>
    <xf numFmtId="0" fontId="93" fillId="0" borderId="46" xfId="0" applyFont="1" applyBorder="1" applyAlignment="1">
      <alignment horizontal="left" vertical="center" wrapText="1" readingOrder="1"/>
    </xf>
    <xf numFmtId="0" fontId="93" fillId="0" borderId="68" xfId="0" applyFont="1" applyBorder="1" applyAlignment="1">
      <alignment horizontal="left" vertical="center" wrapText="1" readingOrder="1"/>
    </xf>
    <xf numFmtId="0" fontId="93" fillId="0" borderId="61" xfId="0" applyFont="1" applyBorder="1" applyAlignment="1">
      <alignment horizontal="left" vertical="center" wrapText="1" readingOrder="1"/>
    </xf>
    <xf numFmtId="0" fontId="93" fillId="0" borderId="94" xfId="0" applyFont="1" applyBorder="1" applyAlignment="1">
      <alignment horizontal="left" vertical="center" wrapText="1" readingOrder="1"/>
    </xf>
    <xf numFmtId="0" fontId="93" fillId="0" borderId="47" xfId="0" applyFont="1" applyBorder="1" applyAlignment="1">
      <alignment horizontal="left" vertical="center" wrapText="1" readingOrder="1"/>
    </xf>
    <xf numFmtId="0" fontId="93" fillId="0" borderId="64" xfId="0" applyFont="1" applyBorder="1" applyAlignment="1">
      <alignment horizontal="left" vertical="center" wrapText="1" readingOrder="1"/>
    </xf>
    <xf numFmtId="0" fontId="13" fillId="0" borderId="0" xfId="0" applyFont="1" applyAlignment="1">
      <alignment horizontal="justify" vertical="center" wrapText="1"/>
    </xf>
    <xf numFmtId="0" fontId="104" fillId="0" borderId="46" xfId="0" applyFont="1" applyBorder="1" applyAlignment="1">
      <alignment horizontal="center" vertical="center" wrapText="1" readingOrder="1"/>
    </xf>
    <xf numFmtId="0" fontId="104" fillId="0" borderId="68" xfId="0" applyFont="1" applyBorder="1" applyAlignment="1">
      <alignment horizontal="center" vertical="center" wrapText="1" readingOrder="1"/>
    </xf>
    <xf numFmtId="0" fontId="104" fillId="0" borderId="61" xfId="0" applyFont="1" applyBorder="1" applyAlignment="1">
      <alignment horizontal="center" vertical="center" wrapText="1" readingOrder="1"/>
    </xf>
    <xf numFmtId="0" fontId="104" fillId="0" borderId="94" xfId="0" applyFont="1" applyBorder="1" applyAlignment="1">
      <alignment horizontal="center" vertical="center" wrapText="1" readingOrder="1"/>
    </xf>
    <xf numFmtId="0" fontId="104" fillId="0" borderId="47" xfId="0" applyFont="1" applyBorder="1" applyAlignment="1">
      <alignment horizontal="center" vertical="center" wrapText="1" readingOrder="1"/>
    </xf>
    <xf numFmtId="0" fontId="104" fillId="0" borderId="64" xfId="0" applyFont="1" applyBorder="1" applyAlignment="1">
      <alignment horizontal="center" vertical="center" wrapText="1" readingOrder="1"/>
    </xf>
    <xf numFmtId="0" fontId="93" fillId="0" borderId="46" xfId="0" applyFont="1" applyBorder="1" applyAlignment="1">
      <alignment horizontal="center" vertical="center" wrapText="1" readingOrder="1"/>
    </xf>
    <xf numFmtId="0" fontId="93" fillId="0" borderId="68" xfId="0" applyFont="1" applyBorder="1" applyAlignment="1">
      <alignment horizontal="center" vertical="center" wrapText="1" readingOrder="1"/>
    </xf>
    <xf numFmtId="0" fontId="93" fillId="0" borderId="61" xfId="0" applyFont="1" applyBorder="1" applyAlignment="1">
      <alignment horizontal="center" vertical="center" wrapText="1" readingOrder="1"/>
    </xf>
    <xf numFmtId="0" fontId="93" fillId="0" borderId="94" xfId="0" applyFont="1" applyBorder="1" applyAlignment="1">
      <alignment horizontal="center" vertical="center" wrapText="1" readingOrder="1"/>
    </xf>
    <xf numFmtId="0" fontId="93" fillId="0" borderId="47" xfId="0" applyFont="1" applyBorder="1" applyAlignment="1">
      <alignment horizontal="center" vertical="center" wrapText="1" readingOrder="1"/>
    </xf>
    <xf numFmtId="0" fontId="93" fillId="0" borderId="64" xfId="0" applyFont="1" applyBorder="1" applyAlignment="1">
      <alignment horizontal="center" vertical="center" wrapText="1" readingOrder="1"/>
    </xf>
    <xf numFmtId="49" fontId="109" fillId="0" borderId="28" xfId="0" applyNumberFormat="1" applyFont="1" applyBorder="1" applyAlignment="1">
      <alignment horizontal="center" vertical="center" wrapText="1" readingOrder="1"/>
    </xf>
    <xf numFmtId="49" fontId="109" fillId="0" borderId="44" xfId="0" applyNumberFormat="1" applyFont="1" applyBorder="1" applyAlignment="1">
      <alignment horizontal="center" vertical="center" wrapText="1" readingOrder="1"/>
    </xf>
    <xf numFmtId="0" fontId="104" fillId="0" borderId="38" xfId="0" applyFont="1" applyBorder="1" applyAlignment="1">
      <alignment horizontal="left" vertical="center" wrapText="1" readingOrder="1"/>
    </xf>
    <xf numFmtId="0" fontId="104" fillId="0" borderId="28" xfId="0" applyFont="1" applyBorder="1" applyAlignment="1">
      <alignment horizontal="left" vertical="center" wrapText="1" readingOrder="1"/>
    </xf>
    <xf numFmtId="0" fontId="104" fillId="0" borderId="44" xfId="0" applyFont="1" applyBorder="1" applyAlignment="1">
      <alignment horizontal="left" vertical="center" wrapText="1" readingOrder="1"/>
    </xf>
    <xf numFmtId="0" fontId="142" fillId="0" borderId="38" xfId="0" applyFont="1" applyBorder="1" applyAlignment="1">
      <alignment horizontal="center" vertical="center" wrapText="1"/>
    </xf>
    <xf numFmtId="0" fontId="142" fillId="0" borderId="28" xfId="0" applyFont="1" applyBorder="1" applyAlignment="1">
      <alignment horizontal="center" vertical="center" wrapText="1"/>
    </xf>
    <xf numFmtId="0" fontId="142" fillId="0" borderId="44" xfId="0" applyFont="1" applyBorder="1" applyAlignment="1">
      <alignment horizontal="center" vertical="center" wrapText="1"/>
    </xf>
    <xf numFmtId="0" fontId="7" fillId="0" borderId="68" xfId="0" applyFont="1" applyBorder="1" applyAlignment="1">
      <alignment horizontal="center" vertical="center" wrapText="1" readingOrder="1"/>
    </xf>
    <xf numFmtId="0" fontId="7" fillId="0" borderId="94" xfId="0" applyFont="1" applyBorder="1" applyAlignment="1">
      <alignment horizontal="center" vertical="center" wrapText="1" readingOrder="1"/>
    </xf>
    <xf numFmtId="0" fontId="7" fillId="0" borderId="64" xfId="0" applyFont="1" applyBorder="1" applyAlignment="1">
      <alignment horizontal="center" vertical="center" wrapText="1" readingOrder="1"/>
    </xf>
    <xf numFmtId="49" fontId="107" fillId="0" borderId="28" xfId="0" applyNumberFormat="1" applyFont="1" applyBorder="1" applyAlignment="1">
      <alignment horizontal="center" vertical="center" wrapText="1" readingOrder="1"/>
    </xf>
    <xf numFmtId="49" fontId="107" fillId="0" borderId="44" xfId="0" applyNumberFormat="1" applyFont="1" applyBorder="1" applyAlignment="1">
      <alignment horizontal="center" vertical="center" wrapText="1" readingOrder="1"/>
    </xf>
    <xf numFmtId="0" fontId="13" fillId="0" borderId="0" xfId="0" applyFont="1" applyAlignment="1">
      <alignment horizontal="left" vertical="center" wrapText="1"/>
    </xf>
    <xf numFmtId="0" fontId="13" fillId="0" borderId="0" xfId="0" applyFont="1" applyAlignment="1">
      <alignment horizontal="left" vertical="center"/>
    </xf>
    <xf numFmtId="0" fontId="140" fillId="0" borderId="0" xfId="0" applyFont="1" applyAlignment="1">
      <alignment horizontal="left" vertical="center" wrapText="1"/>
    </xf>
    <xf numFmtId="0" fontId="13" fillId="0" borderId="0" xfId="0" applyFont="1" applyAlignment="1">
      <alignment horizontal="left" vertical="top" wrapText="1"/>
    </xf>
    <xf numFmtId="0" fontId="63" fillId="0" borderId="0" xfId="0" applyFont="1" applyAlignment="1">
      <alignment horizontal="left" vertical="center" wrapText="1" readingOrder="1"/>
    </xf>
    <xf numFmtId="165" fontId="7" fillId="91" borderId="46" xfId="889" applyNumberFormat="1" applyFont="1" applyFill="1" applyBorder="1" applyAlignment="1" applyProtection="1">
      <alignment horizontal="center" vertical="center"/>
    </xf>
    <xf numFmtId="165" fontId="7" fillId="91" borderId="68" xfId="889" applyNumberFormat="1" applyFont="1" applyFill="1" applyBorder="1" applyAlignment="1" applyProtection="1">
      <alignment horizontal="center" vertical="center"/>
    </xf>
    <xf numFmtId="165" fontId="7" fillId="91" borderId="61" xfId="889" applyNumberFormat="1" applyFont="1" applyFill="1" applyBorder="1" applyAlignment="1" applyProtection="1">
      <alignment horizontal="center" vertical="center"/>
    </xf>
    <xf numFmtId="165" fontId="7" fillId="91" borderId="94" xfId="889" applyNumberFormat="1" applyFont="1" applyFill="1" applyBorder="1" applyAlignment="1" applyProtection="1">
      <alignment horizontal="center" vertical="center"/>
    </xf>
    <xf numFmtId="165" fontId="7" fillId="0" borderId="20" xfId="889" applyNumberFormat="1" applyFont="1" applyFill="1" applyBorder="1" applyAlignment="1" applyProtection="1">
      <alignment horizontal="center" vertical="center"/>
    </xf>
    <xf numFmtId="165" fontId="7" fillId="93" borderId="45" xfId="889" applyNumberFormat="1" applyFont="1" applyFill="1" applyBorder="1" applyAlignment="1" applyProtection="1">
      <alignment horizontal="left" vertical="center" wrapText="1"/>
    </xf>
    <xf numFmtId="165" fontId="7" fillId="93" borderId="27" xfId="889" applyNumberFormat="1" applyFont="1" applyFill="1" applyBorder="1" applyAlignment="1" applyProtection="1">
      <alignment horizontal="left" vertical="center" wrapText="1"/>
    </xf>
    <xf numFmtId="165" fontId="7" fillId="93" borderId="26" xfId="889" applyNumberFormat="1" applyFont="1" applyFill="1" applyBorder="1" applyAlignment="1" applyProtection="1">
      <alignment horizontal="left" vertical="center" wrapText="1"/>
    </xf>
    <xf numFmtId="165" fontId="7" fillId="94" borderId="46" xfId="889" applyNumberFormat="1" applyFont="1" applyFill="1" applyBorder="1" applyAlignment="1" applyProtection="1">
      <alignment horizontal="center" vertical="center"/>
    </xf>
    <xf numFmtId="165" fontId="7" fillId="94" borderId="68" xfId="889" applyNumberFormat="1" applyFont="1" applyFill="1" applyBorder="1" applyAlignment="1" applyProtection="1">
      <alignment horizontal="center" vertical="center"/>
    </xf>
    <xf numFmtId="165" fontId="7" fillId="94" borderId="47" xfId="889" applyNumberFormat="1" applyFont="1" applyFill="1" applyBorder="1" applyAlignment="1" applyProtection="1">
      <alignment horizontal="center" vertical="center"/>
    </xf>
    <xf numFmtId="165" fontId="7" fillId="94" borderId="64" xfId="889" applyNumberFormat="1" applyFont="1" applyFill="1" applyBorder="1" applyAlignment="1" applyProtection="1">
      <alignment horizontal="center" vertical="center"/>
    </xf>
    <xf numFmtId="165" fontId="7" fillId="0" borderId="38" xfId="889" applyNumberFormat="1" applyFont="1" applyFill="1" applyBorder="1" applyAlignment="1" applyProtection="1">
      <alignment horizontal="center" wrapText="1"/>
    </xf>
    <xf numFmtId="165" fontId="7" fillId="0" borderId="28" xfId="889" applyNumberFormat="1" applyFont="1" applyFill="1" applyBorder="1" applyAlignment="1" applyProtection="1">
      <alignment horizontal="center" wrapText="1"/>
    </xf>
    <xf numFmtId="0" fontId="95" fillId="0" borderId="0" xfId="0" applyFont="1" applyAlignment="1">
      <alignment horizontal="left"/>
    </xf>
    <xf numFmtId="0" fontId="10" fillId="30" borderId="23" xfId="513" applyFont="1" applyFill="1" applyBorder="1" applyAlignment="1">
      <alignment horizontal="left" vertical="center"/>
    </xf>
    <xf numFmtId="0" fontId="10" fillId="30" borderId="24" xfId="513" applyFont="1" applyFill="1" applyBorder="1" applyAlignment="1">
      <alignment horizontal="left" vertical="center"/>
    </xf>
    <xf numFmtId="0" fontId="10" fillId="30" borderId="25" xfId="513" applyFont="1" applyFill="1" applyBorder="1" applyAlignment="1">
      <alignment horizontal="left" vertical="center"/>
    </xf>
    <xf numFmtId="0" fontId="99" fillId="0" borderId="22" xfId="0" applyFont="1" applyBorder="1" applyAlignment="1">
      <alignment horizontal="center" vertical="center" wrapText="1"/>
    </xf>
    <xf numFmtId="0" fontId="99" fillId="0" borderId="40" xfId="0" applyFont="1" applyBorder="1" applyAlignment="1">
      <alignment horizontal="center" vertical="center" wrapText="1"/>
    </xf>
    <xf numFmtId="0" fontId="99" fillId="0" borderId="23" xfId="0" applyFont="1" applyBorder="1" applyAlignment="1">
      <alignment horizontal="center" vertical="center" wrapText="1"/>
    </xf>
    <xf numFmtId="0" fontId="93" fillId="0" borderId="22" xfId="0" applyFont="1" applyBorder="1" applyAlignment="1">
      <alignment horizontal="center" vertical="center" wrapText="1"/>
    </xf>
    <xf numFmtId="0" fontId="99" fillId="0" borderId="18" xfId="0" applyFont="1" applyBorder="1" applyAlignment="1">
      <alignment horizontal="center" vertical="center" wrapText="1"/>
    </xf>
    <xf numFmtId="0" fontId="0" fillId="0" borderId="24" xfId="0" applyBorder="1" applyAlignment="1">
      <alignment vertical="center"/>
    </xf>
    <xf numFmtId="0" fontId="0" fillId="0" borderId="25" xfId="0" applyBorder="1"/>
    <xf numFmtId="0" fontId="99" fillId="0" borderId="0" xfId="0" applyFont="1" applyAlignment="1">
      <alignment horizontal="center" vertical="center" wrapText="1"/>
    </xf>
    <xf numFmtId="0" fontId="13" fillId="0" borderId="23" xfId="0" applyFont="1" applyBorder="1" applyAlignment="1">
      <alignment horizontal="left" vertical="center"/>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93" xfId="0" applyFont="1" applyBorder="1" applyAlignment="1">
      <alignment horizontal="left" vertical="center"/>
    </xf>
    <xf numFmtId="0" fontId="13" fillId="0" borderId="92" xfId="0" applyFont="1" applyBorder="1" applyAlignment="1">
      <alignment horizontal="left" vertical="center"/>
    </xf>
    <xf numFmtId="0" fontId="111" fillId="0" borderId="0" xfId="0" applyFont="1" applyAlignment="1">
      <alignment horizontal="left" vertical="center"/>
    </xf>
    <xf numFmtId="0" fontId="25" fillId="0" borderId="23"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1" fillId="32" borderId="19" xfId="0" applyFont="1" applyFill="1" applyBorder="1" applyAlignment="1">
      <alignment horizontal="center" vertical="center"/>
    </xf>
    <xf numFmtId="0" fontId="21" fillId="32" borderId="91" xfId="0" applyFont="1" applyFill="1" applyBorder="1" applyAlignment="1">
      <alignment horizontal="center" vertical="center"/>
    </xf>
    <xf numFmtId="0" fontId="21" fillId="32" borderId="21" xfId="0" applyFont="1" applyFill="1" applyBorder="1" applyAlignment="1">
      <alignment horizontal="center" vertical="center" wrapText="1"/>
    </xf>
    <xf numFmtId="0" fontId="21" fillId="32" borderId="92" xfId="0" applyFont="1" applyFill="1" applyBorder="1" applyAlignment="1">
      <alignment horizontal="center" vertical="center" wrapText="1"/>
    </xf>
    <xf numFmtId="0" fontId="16" fillId="0" borderId="68" xfId="0" applyFont="1" applyBorder="1" applyAlignment="1">
      <alignment horizontal="center" textRotation="90" wrapText="1"/>
    </xf>
    <xf numFmtId="0" fontId="16" fillId="0" borderId="64" xfId="0" applyFont="1" applyBorder="1" applyAlignment="1">
      <alignment horizontal="center" textRotation="90" wrapText="1"/>
    </xf>
    <xf numFmtId="0" fontId="13" fillId="0" borderId="18" xfId="0" applyFont="1" applyBorder="1" applyAlignment="1">
      <alignment horizontal="justify" vertical="center"/>
    </xf>
    <xf numFmtId="0" fontId="93" fillId="0" borderId="18" xfId="0" applyFont="1" applyBorder="1" applyAlignment="1">
      <alignment horizontal="justify" vertical="center"/>
    </xf>
    <xf numFmtId="0" fontId="88" fillId="0" borderId="18" xfId="0" applyFont="1" applyBorder="1" applyAlignment="1">
      <alignment horizontal="justify" vertical="center"/>
    </xf>
    <xf numFmtId="0" fontId="13" fillId="0" borderId="18" xfId="0" applyFont="1" applyBorder="1" applyAlignment="1">
      <alignment horizontal="justify" vertical="center" wrapText="1"/>
    </xf>
    <xf numFmtId="0" fontId="88" fillId="0" borderId="18" xfId="0" applyFont="1" applyBorder="1" applyAlignment="1">
      <alignment horizontal="justify" vertical="center" wrapText="1"/>
    </xf>
    <xf numFmtId="0" fontId="7" fillId="0" borderId="0" xfId="0" applyFont="1" applyAlignment="1">
      <alignment horizontal="justify"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32" borderId="23" xfId="0" applyFont="1" applyFill="1" applyBorder="1" applyAlignment="1">
      <alignment horizontal="center" vertical="center" wrapText="1"/>
    </xf>
    <xf numFmtId="0" fontId="13" fillId="32" borderId="24" xfId="0" applyFont="1" applyFill="1" applyBorder="1" applyAlignment="1">
      <alignment horizontal="center" vertical="center" wrapText="1"/>
    </xf>
    <xf numFmtId="0" fontId="13" fillId="32" borderId="25" xfId="0" applyFont="1" applyFill="1" applyBorder="1" applyAlignment="1">
      <alignment horizontal="center" vertical="center" wrapText="1"/>
    </xf>
    <xf numFmtId="0" fontId="13" fillId="29" borderId="23" xfId="0" applyFont="1" applyFill="1" applyBorder="1" applyAlignment="1">
      <alignment horizontal="center" vertical="center" wrapText="1"/>
    </xf>
    <xf numFmtId="0" fontId="13" fillId="29" borderId="24" xfId="0" applyFont="1" applyFill="1" applyBorder="1" applyAlignment="1">
      <alignment horizontal="center" vertical="center" wrapText="1"/>
    </xf>
    <xf numFmtId="0" fontId="13" fillId="29" borderId="25" xfId="0" applyFont="1" applyFill="1" applyBorder="1" applyAlignment="1">
      <alignment horizontal="center" vertical="center" wrapText="1"/>
    </xf>
    <xf numFmtId="0" fontId="88" fillId="0" borderId="22" xfId="0" applyFont="1" applyBorder="1" applyAlignment="1">
      <alignment horizontal="justify" vertical="center" wrapText="1"/>
    </xf>
    <xf numFmtId="0" fontId="16" fillId="0" borderId="38" xfId="0" applyFont="1" applyBorder="1" applyAlignment="1">
      <alignment horizontal="center" textRotation="90" wrapText="1"/>
    </xf>
    <xf numFmtId="0" fontId="16" fillId="0" borderId="44" xfId="0" applyFont="1" applyBorder="1" applyAlignment="1">
      <alignment horizontal="center" textRotation="90" wrapText="1"/>
    </xf>
    <xf numFmtId="0" fontId="21" fillId="31" borderId="22" xfId="0" applyFont="1" applyFill="1" applyBorder="1" applyAlignment="1">
      <alignment horizontal="center" vertical="center"/>
    </xf>
    <xf numFmtId="0" fontId="10" fillId="0" borderId="82" xfId="0" applyFont="1" applyBorder="1" applyAlignment="1">
      <alignment horizontal="center" textRotation="90" wrapText="1"/>
    </xf>
    <xf numFmtId="0" fontId="10" fillId="0" borderId="96" xfId="0" applyFont="1" applyBorder="1" applyAlignment="1">
      <alignment horizontal="center" textRotation="90" wrapText="1"/>
    </xf>
    <xf numFmtId="0" fontId="21" fillId="28" borderId="19" xfId="0" applyFont="1" applyFill="1" applyBorder="1" applyAlignment="1">
      <alignment horizontal="center" vertical="center"/>
    </xf>
    <xf numFmtId="0" fontId="21" fillId="28" borderId="59" xfId="0" applyFont="1" applyFill="1" applyBorder="1" applyAlignment="1">
      <alignment horizontal="center" vertical="center"/>
    </xf>
    <xf numFmtId="0" fontId="21" fillId="28" borderId="91" xfId="0" applyFont="1" applyFill="1" applyBorder="1" applyAlignment="1">
      <alignment horizontal="center" vertical="center"/>
    </xf>
    <xf numFmtId="0" fontId="24" fillId="31" borderId="21" xfId="0" applyFont="1" applyFill="1" applyBorder="1" applyAlignment="1">
      <alignment horizontal="center" vertical="center" wrapText="1"/>
    </xf>
    <xf numFmtId="0" fontId="24" fillId="31" borderId="92" xfId="0" applyFont="1" applyFill="1" applyBorder="1" applyAlignment="1">
      <alignment horizontal="center" vertical="center" wrapText="1"/>
    </xf>
    <xf numFmtId="0" fontId="16" fillId="66" borderId="76" xfId="0" applyFont="1" applyFill="1" applyBorder="1" applyAlignment="1">
      <alignment horizontal="center" vertical="top" wrapText="1"/>
    </xf>
    <xf numFmtId="0" fontId="16" fillId="66" borderId="28" xfId="0" applyFont="1" applyFill="1" applyBorder="1" applyAlignment="1">
      <alignment horizontal="center" vertical="top" wrapText="1"/>
    </xf>
    <xf numFmtId="0" fontId="16" fillId="66" borderId="113" xfId="0" applyFont="1" applyFill="1" applyBorder="1" applyAlignment="1">
      <alignment horizontal="center" vertical="top" wrapText="1"/>
    </xf>
    <xf numFmtId="0" fontId="16" fillId="66" borderId="76" xfId="0" applyFont="1" applyFill="1" applyBorder="1" applyAlignment="1">
      <alignment horizontal="center" vertical="center" wrapText="1"/>
    </xf>
    <xf numFmtId="0" fontId="16" fillId="66" borderId="28" xfId="0" applyFont="1" applyFill="1" applyBorder="1" applyAlignment="1">
      <alignment horizontal="center" vertical="center" wrapText="1"/>
    </xf>
    <xf numFmtId="0" fontId="16" fillId="66" borderId="113" xfId="0" applyFont="1" applyFill="1" applyBorder="1" applyAlignment="1">
      <alignment horizontal="center" vertical="center" wrapText="1"/>
    </xf>
    <xf numFmtId="0" fontId="10" fillId="27" borderId="97" xfId="0" applyFont="1" applyFill="1" applyBorder="1" applyAlignment="1">
      <alignment horizontal="center" vertical="center" wrapText="1"/>
    </xf>
    <xf numFmtId="0" fontId="10" fillId="27" borderId="98" xfId="0" applyFont="1" applyFill="1" applyBorder="1" applyAlignment="1">
      <alignment horizontal="center" vertical="center" wrapText="1"/>
    </xf>
    <xf numFmtId="0" fontId="10" fillId="27" borderId="74" xfId="0" applyFont="1" applyFill="1" applyBorder="1" applyAlignment="1">
      <alignment horizontal="center" vertical="center" wrapText="1"/>
    </xf>
    <xf numFmtId="0" fontId="10" fillId="0" borderId="38" xfId="0" applyFont="1" applyBorder="1" applyAlignment="1">
      <alignment horizontal="center" textRotation="90" wrapText="1"/>
    </xf>
    <xf numFmtId="0" fontId="0" fillId="0" borderId="44" xfId="0" applyBorder="1"/>
    <xf numFmtId="0" fontId="13" fillId="28" borderId="23" xfId="0" applyFont="1" applyFill="1" applyBorder="1" applyAlignment="1">
      <alignment horizontal="center" vertical="center" wrapText="1"/>
    </xf>
    <xf numFmtId="0" fontId="13" fillId="28" borderId="24" xfId="0" applyFont="1" applyFill="1" applyBorder="1" applyAlignment="1">
      <alignment horizontal="center" vertical="center" wrapText="1"/>
    </xf>
    <xf numFmtId="0" fontId="13" fillId="28" borderId="25" xfId="0" applyFont="1" applyFill="1" applyBorder="1" applyAlignment="1">
      <alignment horizontal="center" vertical="center" wrapText="1"/>
    </xf>
    <xf numFmtId="0" fontId="16" fillId="0" borderId="99" xfId="0" applyFont="1" applyBorder="1" applyAlignment="1">
      <alignment horizontal="center" textRotation="90" wrapText="1"/>
    </xf>
    <xf numFmtId="0" fontId="16" fillId="0" borderId="79" xfId="0" applyFont="1" applyBorder="1" applyAlignment="1">
      <alignment horizontal="center" textRotation="90" wrapText="1"/>
    </xf>
    <xf numFmtId="14" fontId="28" fillId="30" borderId="23" xfId="0" applyNumberFormat="1" applyFont="1" applyFill="1" applyBorder="1" applyAlignment="1">
      <alignment horizontal="center" vertical="center"/>
    </xf>
    <xf numFmtId="14" fontId="28" fillId="30" borderId="24" xfId="0" applyNumberFormat="1" applyFont="1" applyFill="1" applyBorder="1" applyAlignment="1">
      <alignment horizontal="center" vertical="center"/>
    </xf>
    <xf numFmtId="14" fontId="28" fillId="30" borderId="25" xfId="0" applyNumberFormat="1" applyFont="1" applyFill="1" applyBorder="1" applyAlignment="1">
      <alignment horizontal="center" vertical="center"/>
    </xf>
    <xf numFmtId="0" fontId="21" fillId="28" borderId="21" xfId="0" applyFont="1" applyFill="1" applyBorder="1" applyAlignment="1">
      <alignment horizontal="center" vertical="center" wrapText="1"/>
    </xf>
    <xf numFmtId="0" fontId="21" fillId="28" borderId="93" xfId="0" applyFont="1" applyFill="1" applyBorder="1" applyAlignment="1">
      <alignment horizontal="center" vertical="center" wrapText="1"/>
    </xf>
    <xf numFmtId="0" fontId="21" fillId="28" borderId="92"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5" xfId="0" applyFont="1" applyBorder="1" applyAlignment="1">
      <alignment horizontal="center" vertical="center"/>
    </xf>
    <xf numFmtId="14" fontId="21" fillId="0" borderId="0" xfId="0" applyNumberFormat="1" applyFont="1" applyAlignment="1">
      <alignment horizontal="center" vertical="center"/>
    </xf>
    <xf numFmtId="0" fontId="10" fillId="0" borderId="46" xfId="0" applyFont="1" applyBorder="1" applyAlignment="1">
      <alignment horizontal="center" textRotation="90" wrapText="1"/>
    </xf>
    <xf numFmtId="0" fontId="10" fillId="0" borderId="47" xfId="0" applyFont="1" applyBorder="1" applyAlignment="1">
      <alignment horizontal="center" textRotation="90" wrapText="1"/>
    </xf>
    <xf numFmtId="0" fontId="21" fillId="29" borderId="59" xfId="0" applyFont="1" applyFill="1" applyBorder="1" applyAlignment="1">
      <alignment horizontal="center" vertical="center"/>
    </xf>
    <xf numFmtId="0" fontId="21" fillId="29" borderId="91" xfId="0" applyFont="1" applyFill="1" applyBorder="1" applyAlignment="1">
      <alignment horizontal="center" vertical="center"/>
    </xf>
    <xf numFmtId="0" fontId="21" fillId="29" borderId="93" xfId="0" applyFont="1" applyFill="1" applyBorder="1" applyAlignment="1">
      <alignment horizontal="center" vertical="center" wrapText="1"/>
    </xf>
    <xf numFmtId="0" fontId="21" fillId="29" borderId="92" xfId="0" applyFont="1" applyFill="1" applyBorder="1" applyAlignment="1">
      <alignment horizontal="center" vertical="center" wrapText="1"/>
    </xf>
    <xf numFmtId="0" fontId="10" fillId="27" borderId="75" xfId="0" applyFont="1" applyFill="1" applyBorder="1" applyAlignment="1">
      <alignment horizontal="center" vertical="center" wrapText="1"/>
    </xf>
    <xf numFmtId="0" fontId="110" fillId="0" borderId="0" xfId="0" applyFont="1" applyAlignment="1">
      <alignment horizontal="left" vertical="center" wrapText="1"/>
    </xf>
    <xf numFmtId="3" fontId="7" fillId="73" borderId="23" xfId="0" applyNumberFormat="1" applyFont="1" applyFill="1" applyBorder="1" applyAlignment="1">
      <alignment horizontal="center" vertical="center" wrapText="1"/>
    </xf>
    <xf numFmtId="3" fontId="7" fillId="73" borderId="24" xfId="0" applyNumberFormat="1" applyFont="1" applyFill="1" applyBorder="1" applyAlignment="1">
      <alignment horizontal="center" vertical="center" wrapText="1"/>
    </xf>
    <xf numFmtId="3" fontId="7" fillId="73" borderId="25" xfId="0" applyNumberFormat="1" applyFont="1" applyFill="1" applyBorder="1" applyAlignment="1">
      <alignment horizontal="center" vertical="center" wrapText="1"/>
    </xf>
    <xf numFmtId="0" fontId="25" fillId="87" borderId="23" xfId="0" applyFont="1" applyFill="1" applyBorder="1" applyAlignment="1">
      <alignment horizontal="center" vertical="center" wrapText="1"/>
    </xf>
    <xf numFmtId="0" fontId="25" fillId="87" borderId="24" xfId="0" applyFont="1" applyFill="1" applyBorder="1" applyAlignment="1">
      <alignment horizontal="center" vertical="center" wrapText="1"/>
    </xf>
    <xf numFmtId="0" fontId="25" fillId="87" borderId="25" xfId="0" applyFont="1" applyFill="1" applyBorder="1" applyAlignment="1">
      <alignment horizontal="center" vertical="center" wrapText="1"/>
    </xf>
    <xf numFmtId="0" fontId="20" fillId="0" borderId="22" xfId="0" applyFont="1" applyBorder="1" applyAlignment="1">
      <alignment horizontal="center" vertical="center"/>
    </xf>
    <xf numFmtId="0" fontId="20" fillId="0" borderId="29" xfId="0" applyFont="1" applyBorder="1" applyAlignment="1">
      <alignment horizontal="center" vertical="center"/>
    </xf>
    <xf numFmtId="0" fontId="98" fillId="0" borderId="23" xfId="0" applyFont="1" applyBorder="1" applyAlignment="1">
      <alignment horizontal="left" vertical="center" wrapText="1"/>
    </xf>
    <xf numFmtId="0" fontId="98" fillId="0" borderId="25" xfId="0" applyFont="1" applyBorder="1" applyAlignment="1">
      <alignment horizontal="left" vertical="center" wrapText="1"/>
    </xf>
    <xf numFmtId="0" fontId="1" fillId="0" borderId="23" xfId="0" applyFont="1" applyBorder="1" applyAlignment="1">
      <alignment horizontal="left" vertical="center" wrapText="1"/>
    </xf>
    <xf numFmtId="0" fontId="28" fillId="0" borderId="18" xfId="0" applyFont="1" applyBorder="1" applyAlignment="1">
      <alignment horizontal="center" vertical="center"/>
    </xf>
    <xf numFmtId="0" fontId="20" fillId="0" borderId="18" xfId="0" applyFont="1" applyBorder="1" applyAlignment="1">
      <alignment horizontal="center" vertical="center"/>
    </xf>
    <xf numFmtId="0" fontId="28" fillId="0" borderId="19" xfId="0" applyFont="1" applyBorder="1" applyAlignment="1">
      <alignment horizontal="center" vertical="center" wrapText="1"/>
    </xf>
    <xf numFmtId="0" fontId="20" fillId="0" borderId="21" xfId="0" applyFont="1" applyBorder="1" applyAlignment="1">
      <alignment horizontal="center" vertical="center"/>
    </xf>
    <xf numFmtId="0" fontId="28" fillId="0" borderId="22" xfId="0" applyFont="1" applyBorder="1" applyAlignment="1">
      <alignment horizontal="center" vertical="center" wrapText="1"/>
    </xf>
    <xf numFmtId="0" fontId="28" fillId="0" borderId="29" xfId="0" applyFont="1" applyBorder="1" applyAlignment="1">
      <alignment horizontal="center" vertical="center" wrapText="1"/>
    </xf>
    <xf numFmtId="0" fontId="100" fillId="74" borderId="0" xfId="0" applyFont="1" applyFill="1" applyAlignment="1">
      <alignment horizontal="center" vertical="center"/>
    </xf>
    <xf numFmtId="49" fontId="21" fillId="76" borderId="28" xfId="0" applyNumberFormat="1" applyFont="1" applyFill="1" applyBorder="1" applyAlignment="1">
      <alignment horizontal="center" vertical="center" wrapText="1"/>
    </xf>
    <xf numFmtId="0" fontId="21" fillId="74" borderId="28" xfId="0" applyFont="1" applyFill="1" applyBorder="1" applyAlignment="1">
      <alignment horizontal="center" vertical="center" wrapText="1"/>
    </xf>
    <xf numFmtId="0" fontId="21" fillId="77" borderId="61" xfId="0" applyFont="1" applyFill="1" applyBorder="1" applyAlignment="1">
      <alignment horizontal="center" vertical="center" wrapText="1"/>
    </xf>
    <xf numFmtId="0" fontId="21" fillId="82" borderId="18" xfId="0" applyFont="1" applyFill="1" applyBorder="1" applyAlignment="1" applyProtection="1">
      <alignment horizontal="left" vertical="center" wrapText="1"/>
      <protection locked="0"/>
    </xf>
    <xf numFmtId="0" fontId="0" fillId="82" borderId="18" xfId="0" applyFill="1" applyBorder="1" applyAlignment="1" applyProtection="1">
      <alignment horizontal="left" vertical="center"/>
      <protection locked="0"/>
    </xf>
    <xf numFmtId="0" fontId="0" fillId="0" borderId="18" xfId="0" applyBorder="1" applyProtection="1">
      <protection locked="0"/>
    </xf>
    <xf numFmtId="0" fontId="28" fillId="0" borderId="18" xfId="0" applyFont="1" applyBorder="1" applyAlignment="1">
      <alignment horizontal="center" vertical="center" wrapText="1"/>
    </xf>
    <xf numFmtId="0" fontId="12" fillId="0" borderId="18" xfId="0" applyFont="1" applyBorder="1" applyAlignment="1">
      <alignment horizontal="center" vertical="center"/>
    </xf>
    <xf numFmtId="0" fontId="28" fillId="0" borderId="18" xfId="0" applyFont="1" applyBorder="1" applyAlignment="1">
      <alignment horizontal="left" vertical="center" wrapText="1"/>
    </xf>
    <xf numFmtId="0" fontId="12" fillId="0" borderId="18" xfId="0" applyFont="1" applyBorder="1" applyAlignment="1">
      <alignment horizontal="left" vertical="center"/>
    </xf>
    <xf numFmtId="0" fontId="0" fillId="0" borderId="18" xfId="0" applyBorder="1"/>
    <xf numFmtId="0" fontId="21" fillId="82" borderId="23" xfId="0" applyFont="1" applyFill="1" applyBorder="1" applyAlignment="1" applyProtection="1">
      <alignment horizontal="left" vertical="center" wrapText="1"/>
      <protection locked="0"/>
    </xf>
    <xf numFmtId="0" fontId="21" fillId="82" borderId="24" xfId="0" applyFont="1" applyFill="1" applyBorder="1" applyAlignment="1" applyProtection="1">
      <alignment horizontal="left" vertical="center" wrapText="1"/>
      <protection locked="0"/>
    </xf>
    <xf numFmtId="0" fontId="21" fillId="82" borderId="25" xfId="0" applyFont="1" applyFill="1" applyBorder="1" applyAlignment="1" applyProtection="1">
      <alignment horizontal="left" vertical="center" wrapText="1"/>
      <protection locked="0"/>
    </xf>
  </cellXfs>
  <cellStyles count="113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2 3" xfId="6" xr:uid="{00000000-0005-0000-0000-000005000000}"/>
    <cellStyle name="20 % - Akzent1 2 3 3" xfId="7" xr:uid="{00000000-0005-0000-0000-000006000000}"/>
    <cellStyle name="20 % - Akzent1 2 4" xfId="8" xr:uid="{00000000-0005-0000-0000-000007000000}"/>
    <cellStyle name="20 % - Akzent1 3" xfId="9" xr:uid="{00000000-0005-0000-0000-000008000000}"/>
    <cellStyle name="20 % - Akzent1 3 2" xfId="10" xr:uid="{00000000-0005-0000-0000-000009000000}"/>
    <cellStyle name="20 % - Akzent1 3 2 2" xfId="584" xr:uid="{00000000-0005-0000-0000-00000A000000}"/>
    <cellStyle name="20 % - Akzent1 3 2 3" xfId="585" xr:uid="{00000000-0005-0000-0000-00000B000000}"/>
    <cellStyle name="20 % - Akzent1 3 2 4" xfId="586" xr:uid="{00000000-0005-0000-0000-00000C000000}"/>
    <cellStyle name="20 % - Akzent1 3 3" xfId="11" xr:uid="{00000000-0005-0000-0000-00000D000000}"/>
    <cellStyle name="20 % - Akzent1 3 4" xfId="587" xr:uid="{00000000-0005-0000-0000-00000E000000}"/>
    <cellStyle name="20 % - Akzent1 3 5" xfId="588" xr:uid="{00000000-0005-0000-0000-00000F000000}"/>
    <cellStyle name="20 % - Akzent1 4" xfId="12" xr:uid="{00000000-0005-0000-0000-000010000000}"/>
    <cellStyle name="20 % - Akzent1 4 2" xfId="13" xr:uid="{00000000-0005-0000-0000-000011000000}"/>
    <cellStyle name="20 % - Akzent1 4 2 2" xfId="589" xr:uid="{00000000-0005-0000-0000-000012000000}"/>
    <cellStyle name="20 % - Akzent1 4 2 3" xfId="590" xr:uid="{00000000-0005-0000-0000-000013000000}"/>
    <cellStyle name="20 % - Akzent1 4 2 4" xfId="591" xr:uid="{00000000-0005-0000-0000-000014000000}"/>
    <cellStyle name="20 % - Akzent1 4 3" xfId="14" xr:uid="{00000000-0005-0000-0000-000015000000}"/>
    <cellStyle name="20 % - Akzent1 4 4" xfId="592" xr:uid="{00000000-0005-0000-0000-000016000000}"/>
    <cellStyle name="20 % - Akzent1 4 5" xfId="593" xr:uid="{00000000-0005-0000-0000-000017000000}"/>
    <cellStyle name="20 % - Akzent1 5" xfId="15" xr:uid="{00000000-0005-0000-0000-000018000000}"/>
    <cellStyle name="20 % - Akzent1 5 2" xfId="594" xr:uid="{00000000-0005-0000-0000-000019000000}"/>
    <cellStyle name="20 % - Akzent1 5 3" xfId="595" xr:uid="{00000000-0005-0000-0000-00001A000000}"/>
    <cellStyle name="20 % - Akzent1 5 4" xfId="596" xr:uid="{00000000-0005-0000-0000-00001B000000}"/>
    <cellStyle name="20 % - Akzent1 6" xfId="16" xr:uid="{00000000-0005-0000-0000-00001C000000}"/>
    <cellStyle name="20 % - Akzent1 7" xfId="17" xr:uid="{00000000-0005-0000-0000-00001D000000}"/>
    <cellStyle name="20 % - Akzent2 2" xfId="18" xr:uid="{00000000-0005-0000-0000-00001E000000}"/>
    <cellStyle name="20 % - Akzent2 2 2" xfId="19" xr:uid="{00000000-0005-0000-0000-00001F000000}"/>
    <cellStyle name="20 % - Akzent2 2 3" xfId="20" xr:uid="{00000000-0005-0000-0000-000020000000}"/>
    <cellStyle name="20 % - Akzent2 2 3 2" xfId="21" xr:uid="{00000000-0005-0000-0000-000021000000}"/>
    <cellStyle name="20 % - Akzent2 2 3 2 2" xfId="22" xr:uid="{00000000-0005-0000-0000-000022000000}"/>
    <cellStyle name="20 % - Akzent2 2 3 2 3" xfId="23" xr:uid="{00000000-0005-0000-0000-000023000000}"/>
    <cellStyle name="20 % - Akzent2 2 3 3" xfId="24" xr:uid="{00000000-0005-0000-0000-000024000000}"/>
    <cellStyle name="20 % - Akzent2 2 4" xfId="25" xr:uid="{00000000-0005-0000-0000-000025000000}"/>
    <cellStyle name="20 % - Akzent2 3" xfId="26" xr:uid="{00000000-0005-0000-0000-000026000000}"/>
    <cellStyle name="20 % - Akzent2 3 2" xfId="27" xr:uid="{00000000-0005-0000-0000-000027000000}"/>
    <cellStyle name="20 % - Akzent2 3 2 2" xfId="597" xr:uid="{00000000-0005-0000-0000-000028000000}"/>
    <cellStyle name="20 % - Akzent2 3 2 3" xfId="598" xr:uid="{00000000-0005-0000-0000-000029000000}"/>
    <cellStyle name="20 % - Akzent2 3 2 4" xfId="599" xr:uid="{00000000-0005-0000-0000-00002A000000}"/>
    <cellStyle name="20 % - Akzent2 3 3" xfId="28" xr:uid="{00000000-0005-0000-0000-00002B000000}"/>
    <cellStyle name="20 % - Akzent2 3 4" xfId="600" xr:uid="{00000000-0005-0000-0000-00002C000000}"/>
    <cellStyle name="20 % - Akzent2 3 5" xfId="601" xr:uid="{00000000-0005-0000-0000-00002D000000}"/>
    <cellStyle name="20 % - Akzent2 4" xfId="29" xr:uid="{00000000-0005-0000-0000-00002E000000}"/>
    <cellStyle name="20 % - Akzent2 4 2" xfId="30" xr:uid="{00000000-0005-0000-0000-00002F000000}"/>
    <cellStyle name="20 % - Akzent2 4 2 2" xfId="602" xr:uid="{00000000-0005-0000-0000-000030000000}"/>
    <cellStyle name="20 % - Akzent2 4 2 3" xfId="603" xr:uid="{00000000-0005-0000-0000-000031000000}"/>
    <cellStyle name="20 % - Akzent2 4 2 4" xfId="604" xr:uid="{00000000-0005-0000-0000-000032000000}"/>
    <cellStyle name="20 % - Akzent2 4 3" xfId="31" xr:uid="{00000000-0005-0000-0000-000033000000}"/>
    <cellStyle name="20 % - Akzent2 4 4" xfId="605" xr:uid="{00000000-0005-0000-0000-000034000000}"/>
    <cellStyle name="20 % - Akzent2 4 5" xfId="606" xr:uid="{00000000-0005-0000-0000-000035000000}"/>
    <cellStyle name="20 % - Akzent2 5" xfId="32" xr:uid="{00000000-0005-0000-0000-000036000000}"/>
    <cellStyle name="20 % - Akzent2 5 2" xfId="607" xr:uid="{00000000-0005-0000-0000-000037000000}"/>
    <cellStyle name="20 % - Akzent2 5 3" xfId="608" xr:uid="{00000000-0005-0000-0000-000038000000}"/>
    <cellStyle name="20 % - Akzent2 5 4" xfId="609" xr:uid="{00000000-0005-0000-0000-000039000000}"/>
    <cellStyle name="20 % - Akzent2 6" xfId="33" xr:uid="{00000000-0005-0000-0000-00003A000000}"/>
    <cellStyle name="20 % - Akzent2 7" xfId="34" xr:uid="{00000000-0005-0000-0000-00003B000000}"/>
    <cellStyle name="20 % - Akzent3 2" xfId="35" xr:uid="{00000000-0005-0000-0000-00003C000000}"/>
    <cellStyle name="20 % - Akzent3 2 2" xfId="36" xr:uid="{00000000-0005-0000-0000-00003D000000}"/>
    <cellStyle name="20 % - Akzent3 2 3" xfId="37" xr:uid="{00000000-0005-0000-0000-00003E000000}"/>
    <cellStyle name="20 % - Akzent3 2 3 2" xfId="38" xr:uid="{00000000-0005-0000-0000-00003F000000}"/>
    <cellStyle name="20 % - Akzent3 2 3 2 2" xfId="39" xr:uid="{00000000-0005-0000-0000-000040000000}"/>
    <cellStyle name="20 % - Akzent3 2 3 2 3" xfId="40" xr:uid="{00000000-0005-0000-0000-000041000000}"/>
    <cellStyle name="20 % - Akzent3 2 3 3" xfId="41" xr:uid="{00000000-0005-0000-0000-000042000000}"/>
    <cellStyle name="20 % - Akzent3 2 4" xfId="42" xr:uid="{00000000-0005-0000-0000-000043000000}"/>
    <cellStyle name="20 % - Akzent3 3" xfId="43" xr:uid="{00000000-0005-0000-0000-000044000000}"/>
    <cellStyle name="20 % - Akzent3 3 2" xfId="44" xr:uid="{00000000-0005-0000-0000-000045000000}"/>
    <cellStyle name="20 % - Akzent3 3 2 2" xfId="610" xr:uid="{00000000-0005-0000-0000-000046000000}"/>
    <cellStyle name="20 % - Akzent3 3 2 3" xfId="611" xr:uid="{00000000-0005-0000-0000-000047000000}"/>
    <cellStyle name="20 % - Akzent3 3 2 4" xfId="612" xr:uid="{00000000-0005-0000-0000-000048000000}"/>
    <cellStyle name="20 % - Akzent3 3 3" xfId="45" xr:uid="{00000000-0005-0000-0000-000049000000}"/>
    <cellStyle name="20 % - Akzent3 3 4" xfId="613" xr:uid="{00000000-0005-0000-0000-00004A000000}"/>
    <cellStyle name="20 % - Akzent3 3 5" xfId="614" xr:uid="{00000000-0005-0000-0000-00004B000000}"/>
    <cellStyle name="20 % - Akzent3 4" xfId="46" xr:uid="{00000000-0005-0000-0000-00004C000000}"/>
    <cellStyle name="20 % - Akzent3 4 2" xfId="47" xr:uid="{00000000-0005-0000-0000-00004D000000}"/>
    <cellStyle name="20 % - Akzent3 4 2 2" xfId="615" xr:uid="{00000000-0005-0000-0000-00004E000000}"/>
    <cellStyle name="20 % - Akzent3 4 2 3" xfId="616" xr:uid="{00000000-0005-0000-0000-00004F000000}"/>
    <cellStyle name="20 % - Akzent3 4 2 4" xfId="617" xr:uid="{00000000-0005-0000-0000-000050000000}"/>
    <cellStyle name="20 % - Akzent3 4 3" xfId="48" xr:uid="{00000000-0005-0000-0000-000051000000}"/>
    <cellStyle name="20 % - Akzent3 4 4" xfId="618" xr:uid="{00000000-0005-0000-0000-000052000000}"/>
    <cellStyle name="20 % - Akzent3 4 5" xfId="619" xr:uid="{00000000-0005-0000-0000-000053000000}"/>
    <cellStyle name="20 % - Akzent3 5" xfId="49" xr:uid="{00000000-0005-0000-0000-000054000000}"/>
    <cellStyle name="20 % - Akzent3 5 2" xfId="620" xr:uid="{00000000-0005-0000-0000-000055000000}"/>
    <cellStyle name="20 % - Akzent3 5 3" xfId="621" xr:uid="{00000000-0005-0000-0000-000056000000}"/>
    <cellStyle name="20 % - Akzent3 5 4" xfId="622" xr:uid="{00000000-0005-0000-0000-000057000000}"/>
    <cellStyle name="20 % - Akzent3 6" xfId="50" xr:uid="{00000000-0005-0000-0000-000058000000}"/>
    <cellStyle name="20 % - Akzent3 7" xfId="51" xr:uid="{00000000-0005-0000-0000-000059000000}"/>
    <cellStyle name="20 % - Akzent4 2" xfId="52" xr:uid="{00000000-0005-0000-0000-00005A000000}"/>
    <cellStyle name="20 % - Akzent4 2 2" xfId="53" xr:uid="{00000000-0005-0000-0000-00005B000000}"/>
    <cellStyle name="20 % - Akzent4 2 3" xfId="54" xr:uid="{00000000-0005-0000-0000-00005C000000}"/>
    <cellStyle name="20 % - Akzent4 2 3 2" xfId="55" xr:uid="{00000000-0005-0000-0000-00005D000000}"/>
    <cellStyle name="20 % - Akzent4 2 3 2 2" xfId="56" xr:uid="{00000000-0005-0000-0000-00005E000000}"/>
    <cellStyle name="20 % - Akzent4 2 3 2 3" xfId="57" xr:uid="{00000000-0005-0000-0000-00005F000000}"/>
    <cellStyle name="20 % - Akzent4 2 3 3" xfId="58" xr:uid="{00000000-0005-0000-0000-000060000000}"/>
    <cellStyle name="20 % - Akzent4 2 4" xfId="59" xr:uid="{00000000-0005-0000-0000-000061000000}"/>
    <cellStyle name="20 % - Akzent4 3" xfId="60" xr:uid="{00000000-0005-0000-0000-000062000000}"/>
    <cellStyle name="20 % - Akzent4 3 2" xfId="61" xr:uid="{00000000-0005-0000-0000-000063000000}"/>
    <cellStyle name="20 % - Akzent4 3 2 2" xfId="623" xr:uid="{00000000-0005-0000-0000-000064000000}"/>
    <cellStyle name="20 % - Akzent4 3 2 3" xfId="624" xr:uid="{00000000-0005-0000-0000-000065000000}"/>
    <cellStyle name="20 % - Akzent4 3 2 4" xfId="625" xr:uid="{00000000-0005-0000-0000-000066000000}"/>
    <cellStyle name="20 % - Akzent4 3 3" xfId="62" xr:uid="{00000000-0005-0000-0000-000067000000}"/>
    <cellStyle name="20 % - Akzent4 3 4" xfId="626" xr:uid="{00000000-0005-0000-0000-000068000000}"/>
    <cellStyle name="20 % - Akzent4 3 5" xfId="627" xr:uid="{00000000-0005-0000-0000-000069000000}"/>
    <cellStyle name="20 % - Akzent4 4" xfId="63" xr:uid="{00000000-0005-0000-0000-00006A000000}"/>
    <cellStyle name="20 % - Akzent4 4 2" xfId="64" xr:uid="{00000000-0005-0000-0000-00006B000000}"/>
    <cellStyle name="20 % - Akzent4 4 2 2" xfId="628" xr:uid="{00000000-0005-0000-0000-00006C000000}"/>
    <cellStyle name="20 % - Akzent4 4 2 3" xfId="629" xr:uid="{00000000-0005-0000-0000-00006D000000}"/>
    <cellStyle name="20 % - Akzent4 4 2 4" xfId="630" xr:uid="{00000000-0005-0000-0000-00006E000000}"/>
    <cellStyle name="20 % - Akzent4 4 3" xfId="65" xr:uid="{00000000-0005-0000-0000-00006F000000}"/>
    <cellStyle name="20 % - Akzent4 4 4" xfId="631" xr:uid="{00000000-0005-0000-0000-000070000000}"/>
    <cellStyle name="20 % - Akzent4 4 5" xfId="632" xr:uid="{00000000-0005-0000-0000-000071000000}"/>
    <cellStyle name="20 % - Akzent4 5" xfId="66" xr:uid="{00000000-0005-0000-0000-000072000000}"/>
    <cellStyle name="20 % - Akzent4 5 2" xfId="633" xr:uid="{00000000-0005-0000-0000-000073000000}"/>
    <cellStyle name="20 % - Akzent4 5 3" xfId="634" xr:uid="{00000000-0005-0000-0000-000074000000}"/>
    <cellStyle name="20 % - Akzent4 5 4" xfId="635" xr:uid="{00000000-0005-0000-0000-000075000000}"/>
    <cellStyle name="20 % - Akzent4 6" xfId="67" xr:uid="{00000000-0005-0000-0000-000076000000}"/>
    <cellStyle name="20 % - Akzent4 7" xfId="68" xr:uid="{00000000-0005-0000-0000-000077000000}"/>
    <cellStyle name="20 % - Akzent5 2" xfId="69" xr:uid="{00000000-0005-0000-0000-000078000000}"/>
    <cellStyle name="20 % - Akzent5 2 2" xfId="70" xr:uid="{00000000-0005-0000-0000-000079000000}"/>
    <cellStyle name="20 % - Akzent5 2 2 2" xfId="71" xr:uid="{00000000-0005-0000-0000-00007A000000}"/>
    <cellStyle name="20 % - Akzent5 2 2 3" xfId="72" xr:uid="{00000000-0005-0000-0000-00007B000000}"/>
    <cellStyle name="20 % - Akzent5 2 3" xfId="73" xr:uid="{00000000-0005-0000-0000-00007C000000}"/>
    <cellStyle name="20 % - Akzent5 3" xfId="74" xr:uid="{00000000-0005-0000-0000-00007D000000}"/>
    <cellStyle name="20 % - Akzent5 3 2" xfId="75" xr:uid="{00000000-0005-0000-0000-00007E000000}"/>
    <cellStyle name="20 % - Akzent5 3 2 2" xfId="636" xr:uid="{00000000-0005-0000-0000-00007F000000}"/>
    <cellStyle name="20 % - Akzent5 3 2 3" xfId="637" xr:uid="{00000000-0005-0000-0000-000080000000}"/>
    <cellStyle name="20 % - Akzent5 3 2 4" xfId="638" xr:uid="{00000000-0005-0000-0000-000081000000}"/>
    <cellStyle name="20 % - Akzent5 3 3" xfId="76" xr:uid="{00000000-0005-0000-0000-000082000000}"/>
    <cellStyle name="20 % - Akzent5 3 4" xfId="639" xr:uid="{00000000-0005-0000-0000-000083000000}"/>
    <cellStyle name="20 % - Akzent5 3 5" xfId="640" xr:uid="{00000000-0005-0000-0000-000084000000}"/>
    <cellStyle name="20 % - Akzent5 4" xfId="77" xr:uid="{00000000-0005-0000-0000-000085000000}"/>
    <cellStyle name="20 % - Akzent5 4 2" xfId="78" xr:uid="{00000000-0005-0000-0000-000086000000}"/>
    <cellStyle name="20 % - Akzent5 4 2 2" xfId="641" xr:uid="{00000000-0005-0000-0000-000087000000}"/>
    <cellStyle name="20 % - Akzent5 4 2 3" xfId="642" xr:uid="{00000000-0005-0000-0000-000088000000}"/>
    <cellStyle name="20 % - Akzent5 4 2 4" xfId="643" xr:uid="{00000000-0005-0000-0000-000089000000}"/>
    <cellStyle name="20 % - Akzent5 4 3" xfId="79" xr:uid="{00000000-0005-0000-0000-00008A000000}"/>
    <cellStyle name="20 % - Akzent5 4 4" xfId="644" xr:uid="{00000000-0005-0000-0000-00008B000000}"/>
    <cellStyle name="20 % - Akzent5 4 5" xfId="645" xr:uid="{00000000-0005-0000-0000-00008C000000}"/>
    <cellStyle name="20 % - Akzent5 5" xfId="80" xr:uid="{00000000-0005-0000-0000-00008D000000}"/>
    <cellStyle name="20 % - Akzent5 5 2" xfId="646" xr:uid="{00000000-0005-0000-0000-00008E000000}"/>
    <cellStyle name="20 % - Akzent5 5 3" xfId="647" xr:uid="{00000000-0005-0000-0000-00008F000000}"/>
    <cellStyle name="20 % - Akzent5 5 4" xfId="648" xr:uid="{00000000-0005-0000-0000-000090000000}"/>
    <cellStyle name="20 % - Akzent5 6" xfId="81" xr:uid="{00000000-0005-0000-0000-000091000000}"/>
    <cellStyle name="20 % - Akzent5 7" xfId="82" xr:uid="{00000000-0005-0000-0000-000092000000}"/>
    <cellStyle name="20 % - Akzent6 2" xfId="83" xr:uid="{00000000-0005-0000-0000-000093000000}"/>
    <cellStyle name="20 % - Akzent6 3" xfId="84" xr:uid="{00000000-0005-0000-0000-000094000000}"/>
    <cellStyle name="20 % - Akzent6 3 2" xfId="85" xr:uid="{00000000-0005-0000-0000-000095000000}"/>
    <cellStyle name="20 % - Akzent6 3 2 2" xfId="649" xr:uid="{00000000-0005-0000-0000-000096000000}"/>
    <cellStyle name="20 % - Akzent6 3 2 3" xfId="650" xr:uid="{00000000-0005-0000-0000-000097000000}"/>
    <cellStyle name="20 % - Akzent6 3 2 4" xfId="651" xr:uid="{00000000-0005-0000-0000-000098000000}"/>
    <cellStyle name="20 % - Akzent6 3 3" xfId="86" xr:uid="{00000000-0005-0000-0000-000099000000}"/>
    <cellStyle name="20 % - Akzent6 3 4" xfId="652" xr:uid="{00000000-0005-0000-0000-00009A000000}"/>
    <cellStyle name="20 % - Akzent6 3 5" xfId="653" xr:uid="{00000000-0005-0000-0000-00009B000000}"/>
    <cellStyle name="20 % - Akzent6 4" xfId="87" xr:uid="{00000000-0005-0000-0000-00009C000000}"/>
    <cellStyle name="20 % - Akzent6 4 2" xfId="88" xr:uid="{00000000-0005-0000-0000-00009D000000}"/>
    <cellStyle name="20 % - Akzent6 4 2 2" xfId="654" xr:uid="{00000000-0005-0000-0000-00009E000000}"/>
    <cellStyle name="20 % - Akzent6 4 2 3" xfId="655" xr:uid="{00000000-0005-0000-0000-00009F000000}"/>
    <cellStyle name="20 % - Akzent6 4 2 4" xfId="656" xr:uid="{00000000-0005-0000-0000-0000A0000000}"/>
    <cellStyle name="20 % - Akzent6 4 3" xfId="89" xr:uid="{00000000-0005-0000-0000-0000A1000000}"/>
    <cellStyle name="20 % - Akzent6 4 4" xfId="657" xr:uid="{00000000-0005-0000-0000-0000A2000000}"/>
    <cellStyle name="20 % - Akzent6 4 5" xfId="658" xr:uid="{00000000-0005-0000-0000-0000A3000000}"/>
    <cellStyle name="20 % - Akzent6 5" xfId="90" xr:uid="{00000000-0005-0000-0000-0000A4000000}"/>
    <cellStyle name="20 % - Akzent6 5 2" xfId="659" xr:uid="{00000000-0005-0000-0000-0000A5000000}"/>
    <cellStyle name="20 % - Akzent6 5 3" xfId="660" xr:uid="{00000000-0005-0000-0000-0000A6000000}"/>
    <cellStyle name="20 % - Akzent6 5 4" xfId="661" xr:uid="{00000000-0005-0000-0000-0000A7000000}"/>
    <cellStyle name="20 % - Akzent6 6" xfId="91" xr:uid="{00000000-0005-0000-0000-0000A8000000}"/>
    <cellStyle name="20 % - Akzent6 7" xfId="92" xr:uid="{00000000-0005-0000-0000-0000A9000000}"/>
    <cellStyle name="40 % - Akzent1 2" xfId="93" xr:uid="{00000000-0005-0000-0000-0000AA000000}"/>
    <cellStyle name="40 % - Akzent1 2 2" xfId="94" xr:uid="{00000000-0005-0000-0000-0000AB000000}"/>
    <cellStyle name="40 % - Akzent1 2 3" xfId="95" xr:uid="{00000000-0005-0000-0000-0000AC000000}"/>
    <cellStyle name="40 % - Akzent1 3" xfId="96" xr:uid="{00000000-0005-0000-0000-0000AD000000}"/>
    <cellStyle name="40 % - Akzent1 3 2" xfId="97" xr:uid="{00000000-0005-0000-0000-0000AE000000}"/>
    <cellStyle name="40 % - Akzent1 3 2 2" xfId="662" xr:uid="{00000000-0005-0000-0000-0000AF000000}"/>
    <cellStyle name="40 % - Akzent1 3 2 3" xfId="663" xr:uid="{00000000-0005-0000-0000-0000B0000000}"/>
    <cellStyle name="40 % - Akzent1 3 2 4" xfId="664" xr:uid="{00000000-0005-0000-0000-0000B1000000}"/>
    <cellStyle name="40 % - Akzent1 3 3" xfId="98" xr:uid="{00000000-0005-0000-0000-0000B2000000}"/>
    <cellStyle name="40 % - Akzent1 3 4" xfId="665" xr:uid="{00000000-0005-0000-0000-0000B3000000}"/>
    <cellStyle name="40 % - Akzent1 3 5" xfId="666" xr:uid="{00000000-0005-0000-0000-0000B4000000}"/>
    <cellStyle name="40 % - Akzent1 4" xfId="99" xr:uid="{00000000-0005-0000-0000-0000B5000000}"/>
    <cellStyle name="40 % - Akzent1 4 2" xfId="100" xr:uid="{00000000-0005-0000-0000-0000B6000000}"/>
    <cellStyle name="40 % - Akzent1 4 2 2" xfId="667" xr:uid="{00000000-0005-0000-0000-0000B7000000}"/>
    <cellStyle name="40 % - Akzent1 4 2 3" xfId="668" xr:uid="{00000000-0005-0000-0000-0000B8000000}"/>
    <cellStyle name="40 % - Akzent1 4 2 4" xfId="669" xr:uid="{00000000-0005-0000-0000-0000B9000000}"/>
    <cellStyle name="40 % - Akzent1 4 3" xfId="101" xr:uid="{00000000-0005-0000-0000-0000BA000000}"/>
    <cellStyle name="40 % - Akzent1 4 4" xfId="670" xr:uid="{00000000-0005-0000-0000-0000BB000000}"/>
    <cellStyle name="40 % - Akzent1 4 5" xfId="671" xr:uid="{00000000-0005-0000-0000-0000BC000000}"/>
    <cellStyle name="40 % - Akzent1 5" xfId="102" xr:uid="{00000000-0005-0000-0000-0000BD000000}"/>
    <cellStyle name="40 % - Akzent1 5 2" xfId="672" xr:uid="{00000000-0005-0000-0000-0000BE000000}"/>
    <cellStyle name="40 % - Akzent1 5 3" xfId="673" xr:uid="{00000000-0005-0000-0000-0000BF000000}"/>
    <cellStyle name="40 % - Akzent1 5 4" xfId="674" xr:uid="{00000000-0005-0000-0000-0000C0000000}"/>
    <cellStyle name="40 % - Akzent1 6" xfId="103" xr:uid="{00000000-0005-0000-0000-0000C1000000}"/>
    <cellStyle name="40 % - Akzent1 7" xfId="104" xr:uid="{00000000-0005-0000-0000-0000C2000000}"/>
    <cellStyle name="40 % - Akzent2 2" xfId="105" xr:uid="{00000000-0005-0000-0000-0000C3000000}"/>
    <cellStyle name="40 % - Akzent2 3" xfId="106" xr:uid="{00000000-0005-0000-0000-0000C4000000}"/>
    <cellStyle name="40 % - Akzent2 3 2" xfId="107" xr:uid="{00000000-0005-0000-0000-0000C5000000}"/>
    <cellStyle name="40 % - Akzent2 3 2 2" xfId="675" xr:uid="{00000000-0005-0000-0000-0000C6000000}"/>
    <cellStyle name="40 % - Akzent2 3 2 3" xfId="676" xr:uid="{00000000-0005-0000-0000-0000C7000000}"/>
    <cellStyle name="40 % - Akzent2 3 2 4" xfId="677" xr:uid="{00000000-0005-0000-0000-0000C8000000}"/>
    <cellStyle name="40 % - Akzent2 3 3" xfId="108" xr:uid="{00000000-0005-0000-0000-0000C9000000}"/>
    <cellStyle name="40 % - Akzent2 3 4" xfId="678" xr:uid="{00000000-0005-0000-0000-0000CA000000}"/>
    <cellStyle name="40 % - Akzent2 3 5" xfId="679" xr:uid="{00000000-0005-0000-0000-0000CB000000}"/>
    <cellStyle name="40 % - Akzent2 4" xfId="109" xr:uid="{00000000-0005-0000-0000-0000CC000000}"/>
    <cellStyle name="40 % - Akzent2 4 2" xfId="110" xr:uid="{00000000-0005-0000-0000-0000CD000000}"/>
    <cellStyle name="40 % - Akzent2 4 2 2" xfId="680" xr:uid="{00000000-0005-0000-0000-0000CE000000}"/>
    <cellStyle name="40 % - Akzent2 4 2 3" xfId="681" xr:uid="{00000000-0005-0000-0000-0000CF000000}"/>
    <cellStyle name="40 % - Akzent2 4 2 4" xfId="682" xr:uid="{00000000-0005-0000-0000-0000D0000000}"/>
    <cellStyle name="40 % - Akzent2 4 3" xfId="111" xr:uid="{00000000-0005-0000-0000-0000D1000000}"/>
    <cellStyle name="40 % - Akzent2 4 4" xfId="683" xr:uid="{00000000-0005-0000-0000-0000D2000000}"/>
    <cellStyle name="40 % - Akzent2 4 5" xfId="684" xr:uid="{00000000-0005-0000-0000-0000D3000000}"/>
    <cellStyle name="40 % - Akzent2 5" xfId="112" xr:uid="{00000000-0005-0000-0000-0000D4000000}"/>
    <cellStyle name="40 % - Akzent2 5 2" xfId="685" xr:uid="{00000000-0005-0000-0000-0000D5000000}"/>
    <cellStyle name="40 % - Akzent2 5 3" xfId="686" xr:uid="{00000000-0005-0000-0000-0000D6000000}"/>
    <cellStyle name="40 % - Akzent2 5 4" xfId="687" xr:uid="{00000000-0005-0000-0000-0000D7000000}"/>
    <cellStyle name="40 % - Akzent2 6" xfId="113" xr:uid="{00000000-0005-0000-0000-0000D8000000}"/>
    <cellStyle name="40 % - Akzent2 7" xfId="114" xr:uid="{00000000-0005-0000-0000-0000D9000000}"/>
    <cellStyle name="40 % - Akzent3 2" xfId="115" xr:uid="{00000000-0005-0000-0000-0000DA000000}"/>
    <cellStyle name="40 % - Akzent3 2 2" xfId="116" xr:uid="{00000000-0005-0000-0000-0000DB000000}"/>
    <cellStyle name="40 % - Akzent3 2 3" xfId="117" xr:uid="{00000000-0005-0000-0000-0000DC000000}"/>
    <cellStyle name="40 % - Akzent3 2 3 2" xfId="118" xr:uid="{00000000-0005-0000-0000-0000DD000000}"/>
    <cellStyle name="40 % - Akzent3 2 3 2 2" xfId="119" xr:uid="{00000000-0005-0000-0000-0000DE000000}"/>
    <cellStyle name="40 % - Akzent3 2 3 2 3" xfId="120" xr:uid="{00000000-0005-0000-0000-0000DF000000}"/>
    <cellStyle name="40 % - Akzent3 2 3 3" xfId="121" xr:uid="{00000000-0005-0000-0000-0000E0000000}"/>
    <cellStyle name="40 % - Akzent3 2 4" xfId="122" xr:uid="{00000000-0005-0000-0000-0000E1000000}"/>
    <cellStyle name="40 % - Akzent3 3" xfId="123" xr:uid="{00000000-0005-0000-0000-0000E2000000}"/>
    <cellStyle name="40 % - Akzent3 3 2" xfId="124" xr:uid="{00000000-0005-0000-0000-0000E3000000}"/>
    <cellStyle name="40 % - Akzent3 3 2 2" xfId="688" xr:uid="{00000000-0005-0000-0000-0000E4000000}"/>
    <cellStyle name="40 % - Akzent3 3 2 3" xfId="689" xr:uid="{00000000-0005-0000-0000-0000E5000000}"/>
    <cellStyle name="40 % - Akzent3 3 2 4" xfId="690" xr:uid="{00000000-0005-0000-0000-0000E6000000}"/>
    <cellStyle name="40 % - Akzent3 3 3" xfId="125" xr:uid="{00000000-0005-0000-0000-0000E7000000}"/>
    <cellStyle name="40 % - Akzent3 3 4" xfId="691" xr:uid="{00000000-0005-0000-0000-0000E8000000}"/>
    <cellStyle name="40 % - Akzent3 3 5" xfId="692" xr:uid="{00000000-0005-0000-0000-0000E9000000}"/>
    <cellStyle name="40 % - Akzent3 4" xfId="126" xr:uid="{00000000-0005-0000-0000-0000EA000000}"/>
    <cellStyle name="40 % - Akzent3 4 2" xfId="127" xr:uid="{00000000-0005-0000-0000-0000EB000000}"/>
    <cellStyle name="40 % - Akzent3 4 2 2" xfId="693" xr:uid="{00000000-0005-0000-0000-0000EC000000}"/>
    <cellStyle name="40 % - Akzent3 4 2 3" xfId="694" xr:uid="{00000000-0005-0000-0000-0000ED000000}"/>
    <cellStyle name="40 % - Akzent3 4 2 4" xfId="695" xr:uid="{00000000-0005-0000-0000-0000EE000000}"/>
    <cellStyle name="40 % - Akzent3 4 3" xfId="128" xr:uid="{00000000-0005-0000-0000-0000EF000000}"/>
    <cellStyle name="40 % - Akzent3 4 4" xfId="696" xr:uid="{00000000-0005-0000-0000-0000F0000000}"/>
    <cellStyle name="40 % - Akzent3 4 5" xfId="697" xr:uid="{00000000-0005-0000-0000-0000F1000000}"/>
    <cellStyle name="40 % - Akzent3 5" xfId="129" xr:uid="{00000000-0005-0000-0000-0000F2000000}"/>
    <cellStyle name="40 % - Akzent3 5 2" xfId="698" xr:uid="{00000000-0005-0000-0000-0000F3000000}"/>
    <cellStyle name="40 % - Akzent3 5 3" xfId="699" xr:uid="{00000000-0005-0000-0000-0000F4000000}"/>
    <cellStyle name="40 % - Akzent3 5 4" xfId="700" xr:uid="{00000000-0005-0000-0000-0000F5000000}"/>
    <cellStyle name="40 % - Akzent3 6" xfId="130" xr:uid="{00000000-0005-0000-0000-0000F6000000}"/>
    <cellStyle name="40 % - Akzent3 7" xfId="131" xr:uid="{00000000-0005-0000-0000-0000F7000000}"/>
    <cellStyle name="40 % - Akzent4 2" xfId="132" xr:uid="{00000000-0005-0000-0000-0000F8000000}"/>
    <cellStyle name="40 % - Akzent4 2 2" xfId="133" xr:uid="{00000000-0005-0000-0000-0000F9000000}"/>
    <cellStyle name="40 % - Akzent4 2 2 2" xfId="134" xr:uid="{00000000-0005-0000-0000-0000FA000000}"/>
    <cellStyle name="40 % - Akzent4 2 2 3" xfId="135" xr:uid="{00000000-0005-0000-0000-0000FB000000}"/>
    <cellStyle name="40 % - Akzent4 2 3" xfId="136" xr:uid="{00000000-0005-0000-0000-0000FC000000}"/>
    <cellStyle name="40 % - Akzent4 3" xfId="137" xr:uid="{00000000-0005-0000-0000-0000FD000000}"/>
    <cellStyle name="40 % - Akzent4 3 2" xfId="138" xr:uid="{00000000-0005-0000-0000-0000FE000000}"/>
    <cellStyle name="40 % - Akzent4 3 2 2" xfId="701" xr:uid="{00000000-0005-0000-0000-0000FF000000}"/>
    <cellStyle name="40 % - Akzent4 3 2 3" xfId="702" xr:uid="{00000000-0005-0000-0000-000000010000}"/>
    <cellStyle name="40 % - Akzent4 3 2 4" xfId="703" xr:uid="{00000000-0005-0000-0000-000001010000}"/>
    <cellStyle name="40 % - Akzent4 3 3" xfId="139" xr:uid="{00000000-0005-0000-0000-000002010000}"/>
    <cellStyle name="40 % - Akzent4 3 4" xfId="704" xr:uid="{00000000-0005-0000-0000-000003010000}"/>
    <cellStyle name="40 % - Akzent4 3 5" xfId="705" xr:uid="{00000000-0005-0000-0000-000004010000}"/>
    <cellStyle name="40 % - Akzent4 4" xfId="140" xr:uid="{00000000-0005-0000-0000-000005010000}"/>
    <cellStyle name="40 % - Akzent4 4 2" xfId="141" xr:uid="{00000000-0005-0000-0000-000006010000}"/>
    <cellStyle name="40 % - Akzent4 4 2 2" xfId="706" xr:uid="{00000000-0005-0000-0000-000007010000}"/>
    <cellStyle name="40 % - Akzent4 4 2 3" xfId="707" xr:uid="{00000000-0005-0000-0000-000008010000}"/>
    <cellStyle name="40 % - Akzent4 4 2 4" xfId="708" xr:uid="{00000000-0005-0000-0000-000009010000}"/>
    <cellStyle name="40 % - Akzent4 4 3" xfId="142" xr:uid="{00000000-0005-0000-0000-00000A010000}"/>
    <cellStyle name="40 % - Akzent4 4 4" xfId="709" xr:uid="{00000000-0005-0000-0000-00000B010000}"/>
    <cellStyle name="40 % - Akzent4 4 5" xfId="710" xr:uid="{00000000-0005-0000-0000-00000C010000}"/>
    <cellStyle name="40 % - Akzent4 5" xfId="143" xr:uid="{00000000-0005-0000-0000-00000D010000}"/>
    <cellStyle name="40 % - Akzent4 5 2" xfId="711" xr:uid="{00000000-0005-0000-0000-00000E010000}"/>
    <cellStyle name="40 % - Akzent4 5 3" xfId="712" xr:uid="{00000000-0005-0000-0000-00000F010000}"/>
    <cellStyle name="40 % - Akzent4 5 4" xfId="713" xr:uid="{00000000-0005-0000-0000-000010010000}"/>
    <cellStyle name="40 % - Akzent4 6" xfId="144" xr:uid="{00000000-0005-0000-0000-000011010000}"/>
    <cellStyle name="40 % - Akzent4 7" xfId="145" xr:uid="{00000000-0005-0000-0000-000012010000}"/>
    <cellStyle name="40 % - Akzent5 2" xfId="146" xr:uid="{00000000-0005-0000-0000-000013010000}"/>
    <cellStyle name="40 % - Akzent5 2 2" xfId="147" xr:uid="{00000000-0005-0000-0000-000014010000}"/>
    <cellStyle name="40 % - Akzent5 2 3" xfId="148" xr:uid="{00000000-0005-0000-0000-000015010000}"/>
    <cellStyle name="40 % - Akzent5 3" xfId="149" xr:uid="{00000000-0005-0000-0000-000016010000}"/>
    <cellStyle name="40 % - Akzent5 3 2" xfId="150" xr:uid="{00000000-0005-0000-0000-000017010000}"/>
    <cellStyle name="40 % - Akzent5 3 2 2" xfId="714" xr:uid="{00000000-0005-0000-0000-000018010000}"/>
    <cellStyle name="40 % - Akzent5 3 2 3" xfId="715" xr:uid="{00000000-0005-0000-0000-000019010000}"/>
    <cellStyle name="40 % - Akzent5 3 2 4" xfId="716" xr:uid="{00000000-0005-0000-0000-00001A010000}"/>
    <cellStyle name="40 % - Akzent5 3 3" xfId="151" xr:uid="{00000000-0005-0000-0000-00001B010000}"/>
    <cellStyle name="40 % - Akzent5 3 4" xfId="717" xr:uid="{00000000-0005-0000-0000-00001C010000}"/>
    <cellStyle name="40 % - Akzent5 3 5" xfId="718" xr:uid="{00000000-0005-0000-0000-00001D010000}"/>
    <cellStyle name="40 % - Akzent5 4" xfId="152" xr:uid="{00000000-0005-0000-0000-00001E010000}"/>
    <cellStyle name="40 % - Akzent5 4 2" xfId="153" xr:uid="{00000000-0005-0000-0000-00001F010000}"/>
    <cellStyle name="40 % - Akzent5 4 2 2" xfId="719" xr:uid="{00000000-0005-0000-0000-000020010000}"/>
    <cellStyle name="40 % - Akzent5 4 2 3" xfId="720" xr:uid="{00000000-0005-0000-0000-000021010000}"/>
    <cellStyle name="40 % - Akzent5 4 2 4" xfId="721" xr:uid="{00000000-0005-0000-0000-000022010000}"/>
    <cellStyle name="40 % - Akzent5 4 3" xfId="154" xr:uid="{00000000-0005-0000-0000-000023010000}"/>
    <cellStyle name="40 % - Akzent5 4 4" xfId="722" xr:uid="{00000000-0005-0000-0000-000024010000}"/>
    <cellStyle name="40 % - Akzent5 4 5" xfId="723" xr:uid="{00000000-0005-0000-0000-000025010000}"/>
    <cellStyle name="40 % - Akzent5 5" xfId="155" xr:uid="{00000000-0005-0000-0000-000026010000}"/>
    <cellStyle name="40 % - Akzent5 5 2" xfId="724" xr:uid="{00000000-0005-0000-0000-000027010000}"/>
    <cellStyle name="40 % - Akzent5 5 3" xfId="725" xr:uid="{00000000-0005-0000-0000-000028010000}"/>
    <cellStyle name="40 % - Akzent5 5 4" xfId="726" xr:uid="{00000000-0005-0000-0000-000029010000}"/>
    <cellStyle name="40 % - Akzent5 6" xfId="156" xr:uid="{00000000-0005-0000-0000-00002A010000}"/>
    <cellStyle name="40 % - Akzent5 7" xfId="157" xr:uid="{00000000-0005-0000-0000-00002B010000}"/>
    <cellStyle name="40 % - Akzent6 2" xfId="158" xr:uid="{00000000-0005-0000-0000-00002C010000}"/>
    <cellStyle name="40 % - Akzent6 2 2" xfId="159" xr:uid="{00000000-0005-0000-0000-00002D010000}"/>
    <cellStyle name="40 % - Akzent6 2 2 2" xfId="160" xr:uid="{00000000-0005-0000-0000-00002E010000}"/>
    <cellStyle name="40 % - Akzent6 2 2 3" xfId="161" xr:uid="{00000000-0005-0000-0000-00002F010000}"/>
    <cellStyle name="40 % - Akzent6 2 3" xfId="162" xr:uid="{00000000-0005-0000-0000-000030010000}"/>
    <cellStyle name="40 % - Akzent6 3" xfId="163" xr:uid="{00000000-0005-0000-0000-000031010000}"/>
    <cellStyle name="40 % - Akzent6 3 2" xfId="164" xr:uid="{00000000-0005-0000-0000-000032010000}"/>
    <cellStyle name="40 % - Akzent6 3 2 2" xfId="727" xr:uid="{00000000-0005-0000-0000-000033010000}"/>
    <cellStyle name="40 % - Akzent6 3 2 3" xfId="728" xr:uid="{00000000-0005-0000-0000-000034010000}"/>
    <cellStyle name="40 % - Akzent6 3 2 4" xfId="729" xr:uid="{00000000-0005-0000-0000-000035010000}"/>
    <cellStyle name="40 % - Akzent6 3 3" xfId="165" xr:uid="{00000000-0005-0000-0000-000036010000}"/>
    <cellStyle name="40 % - Akzent6 3 4" xfId="730" xr:uid="{00000000-0005-0000-0000-000037010000}"/>
    <cellStyle name="40 % - Akzent6 3 5" xfId="731" xr:uid="{00000000-0005-0000-0000-000038010000}"/>
    <cellStyle name="40 % - Akzent6 4" xfId="166" xr:uid="{00000000-0005-0000-0000-000039010000}"/>
    <cellStyle name="40 % - Akzent6 4 2" xfId="167" xr:uid="{00000000-0005-0000-0000-00003A010000}"/>
    <cellStyle name="40 % - Akzent6 4 2 2" xfId="732" xr:uid="{00000000-0005-0000-0000-00003B010000}"/>
    <cellStyle name="40 % - Akzent6 4 2 3" xfId="733" xr:uid="{00000000-0005-0000-0000-00003C010000}"/>
    <cellStyle name="40 % - Akzent6 4 2 4" xfId="734" xr:uid="{00000000-0005-0000-0000-00003D010000}"/>
    <cellStyle name="40 % - Akzent6 4 3" xfId="168" xr:uid="{00000000-0005-0000-0000-00003E010000}"/>
    <cellStyle name="40 % - Akzent6 4 4" xfId="735" xr:uid="{00000000-0005-0000-0000-00003F010000}"/>
    <cellStyle name="40 % - Akzent6 4 5" xfId="736" xr:uid="{00000000-0005-0000-0000-000040010000}"/>
    <cellStyle name="40 % - Akzent6 5" xfId="169" xr:uid="{00000000-0005-0000-0000-000041010000}"/>
    <cellStyle name="40 % - Akzent6 5 2" xfId="737" xr:uid="{00000000-0005-0000-0000-000042010000}"/>
    <cellStyle name="40 % - Akzent6 5 3" xfId="738" xr:uid="{00000000-0005-0000-0000-000043010000}"/>
    <cellStyle name="40 % - Akzent6 5 4" xfId="739" xr:uid="{00000000-0005-0000-0000-000044010000}"/>
    <cellStyle name="40 % - Akzent6 6" xfId="170" xr:uid="{00000000-0005-0000-0000-000045010000}"/>
    <cellStyle name="40 % - Akzent6 7" xfId="171" xr:uid="{00000000-0005-0000-0000-000046010000}"/>
    <cellStyle name="60 % - Akzent1 2" xfId="172" xr:uid="{00000000-0005-0000-0000-000047010000}"/>
    <cellStyle name="60 % - Akzent1 2 2" xfId="173" xr:uid="{00000000-0005-0000-0000-000048010000}"/>
    <cellStyle name="60 % - Akzent1 2 2 2" xfId="174" xr:uid="{00000000-0005-0000-0000-000049010000}"/>
    <cellStyle name="60 % - Akzent1 2 2 3" xfId="175" xr:uid="{00000000-0005-0000-0000-00004A010000}"/>
    <cellStyle name="60 % - Akzent1 2 3" xfId="176" xr:uid="{00000000-0005-0000-0000-00004B010000}"/>
    <cellStyle name="60 % - Akzent1 3" xfId="177" xr:uid="{00000000-0005-0000-0000-00004C010000}"/>
    <cellStyle name="60 % - Akzent1 4" xfId="178" xr:uid="{00000000-0005-0000-0000-00004D010000}"/>
    <cellStyle name="60 % - Akzent1 5" xfId="179" xr:uid="{00000000-0005-0000-0000-00004E010000}"/>
    <cellStyle name="60 % - Akzent1 6" xfId="180" xr:uid="{00000000-0005-0000-0000-00004F010000}"/>
    <cellStyle name="60 % - Akzent2 2" xfId="181" xr:uid="{00000000-0005-0000-0000-000050010000}"/>
    <cellStyle name="60 % - Akzent2 3" xfId="182" xr:uid="{00000000-0005-0000-0000-000051010000}"/>
    <cellStyle name="60 % - Akzent2 4" xfId="183" xr:uid="{00000000-0005-0000-0000-000052010000}"/>
    <cellStyle name="60 % - Akzent2 5" xfId="184" xr:uid="{00000000-0005-0000-0000-000053010000}"/>
    <cellStyle name="60 % - Akzent2 6" xfId="185" xr:uid="{00000000-0005-0000-0000-000054010000}"/>
    <cellStyle name="60 % - Akzent3 2" xfId="186" xr:uid="{00000000-0005-0000-0000-000055010000}"/>
    <cellStyle name="60 % - Akzent3 3" xfId="187" xr:uid="{00000000-0005-0000-0000-000056010000}"/>
    <cellStyle name="60 % - Akzent3 4" xfId="188" xr:uid="{00000000-0005-0000-0000-000057010000}"/>
    <cellStyle name="60 % - Akzent3 5" xfId="189" xr:uid="{00000000-0005-0000-0000-000058010000}"/>
    <cellStyle name="60 % - Akzent3 6" xfId="190" xr:uid="{00000000-0005-0000-0000-000059010000}"/>
    <cellStyle name="60 % - Akzent4 2" xfId="191" xr:uid="{00000000-0005-0000-0000-00005A010000}"/>
    <cellStyle name="60 % - Akzent4 2 2" xfId="192" xr:uid="{00000000-0005-0000-0000-00005B010000}"/>
    <cellStyle name="60 % - Akzent4 2 3" xfId="193" xr:uid="{00000000-0005-0000-0000-00005C010000}"/>
    <cellStyle name="60 % - Akzent4 2 3 2" xfId="194" xr:uid="{00000000-0005-0000-0000-00005D010000}"/>
    <cellStyle name="60 % - Akzent4 2 3 2 2" xfId="195" xr:uid="{00000000-0005-0000-0000-00005E010000}"/>
    <cellStyle name="60 % - Akzent4 2 3 2 3" xfId="196" xr:uid="{00000000-0005-0000-0000-00005F010000}"/>
    <cellStyle name="60 % - Akzent4 2 3 3" xfId="197" xr:uid="{00000000-0005-0000-0000-000060010000}"/>
    <cellStyle name="60 % - Akzent4 2 4" xfId="198" xr:uid="{00000000-0005-0000-0000-000061010000}"/>
    <cellStyle name="60 % - Akzent4 3" xfId="199" xr:uid="{00000000-0005-0000-0000-000062010000}"/>
    <cellStyle name="60 % - Akzent4 4" xfId="200" xr:uid="{00000000-0005-0000-0000-000063010000}"/>
    <cellStyle name="60 % - Akzent4 5" xfId="201" xr:uid="{00000000-0005-0000-0000-000064010000}"/>
    <cellStyle name="60 % - Akzent4 6" xfId="202" xr:uid="{00000000-0005-0000-0000-000065010000}"/>
    <cellStyle name="60 % - Akzent5 2" xfId="203" xr:uid="{00000000-0005-0000-0000-000066010000}"/>
    <cellStyle name="60 % - Akzent5 2 2" xfId="204" xr:uid="{00000000-0005-0000-0000-000067010000}"/>
    <cellStyle name="60 % - Akzent5 2 2 2" xfId="205" xr:uid="{00000000-0005-0000-0000-000068010000}"/>
    <cellStyle name="60 % - Akzent5 2 2 3" xfId="206" xr:uid="{00000000-0005-0000-0000-000069010000}"/>
    <cellStyle name="60 % - Akzent5 2 3" xfId="207" xr:uid="{00000000-0005-0000-0000-00006A010000}"/>
    <cellStyle name="60 % - Akzent5 3" xfId="208" xr:uid="{00000000-0005-0000-0000-00006B010000}"/>
    <cellStyle name="60 % - Akzent5 4" xfId="209" xr:uid="{00000000-0005-0000-0000-00006C010000}"/>
    <cellStyle name="60 % - Akzent5 5" xfId="210" xr:uid="{00000000-0005-0000-0000-00006D010000}"/>
    <cellStyle name="60 % - Akzent5 6" xfId="211" xr:uid="{00000000-0005-0000-0000-00006E010000}"/>
    <cellStyle name="60 % - Akzent6 2" xfId="212" xr:uid="{00000000-0005-0000-0000-00006F010000}"/>
    <cellStyle name="60 % - Akzent6 2 2" xfId="213" xr:uid="{00000000-0005-0000-0000-000070010000}"/>
    <cellStyle name="60 % - Akzent6 2 3" xfId="214" xr:uid="{00000000-0005-0000-0000-000071010000}"/>
    <cellStyle name="60 % - Akzent6 2 3 2" xfId="215" xr:uid="{00000000-0005-0000-0000-000072010000}"/>
    <cellStyle name="60 % - Akzent6 2 3 2 2" xfId="216" xr:uid="{00000000-0005-0000-0000-000073010000}"/>
    <cellStyle name="60 % - Akzent6 2 3 2 3" xfId="217" xr:uid="{00000000-0005-0000-0000-000074010000}"/>
    <cellStyle name="60 % - Akzent6 2 3 3" xfId="218" xr:uid="{00000000-0005-0000-0000-000075010000}"/>
    <cellStyle name="60 % - Akzent6 2 4" xfId="219" xr:uid="{00000000-0005-0000-0000-000076010000}"/>
    <cellStyle name="60 % - Akzent6 3" xfId="220" xr:uid="{00000000-0005-0000-0000-000077010000}"/>
    <cellStyle name="60 % - Akzent6 4" xfId="221" xr:uid="{00000000-0005-0000-0000-000078010000}"/>
    <cellStyle name="60 % - Akzent6 5" xfId="222" xr:uid="{00000000-0005-0000-0000-000079010000}"/>
    <cellStyle name="60 % - Akzent6 6" xfId="223" xr:uid="{00000000-0005-0000-0000-00007A010000}"/>
    <cellStyle name="Accent1" xfId="224" xr:uid="{00000000-0005-0000-0000-00007B010000}"/>
    <cellStyle name="Accent1 2" xfId="225" xr:uid="{00000000-0005-0000-0000-00007C010000}"/>
    <cellStyle name="Accent1 3" xfId="226" xr:uid="{00000000-0005-0000-0000-00007D010000}"/>
    <cellStyle name="Accent1 3 2" xfId="227" xr:uid="{00000000-0005-0000-0000-00007E010000}"/>
    <cellStyle name="Accent1 3 3" xfId="228" xr:uid="{00000000-0005-0000-0000-00007F010000}"/>
    <cellStyle name="Accent1 4" xfId="229" xr:uid="{00000000-0005-0000-0000-000080010000}"/>
    <cellStyle name="Accent1 4 2" xfId="1109" xr:uid="{00000000-0005-0000-0000-000081010000}"/>
    <cellStyle name="Accent1 4 3" xfId="740" xr:uid="{00000000-0005-0000-0000-000082010000}"/>
    <cellStyle name="Accent1 5" xfId="230" xr:uid="{00000000-0005-0000-0000-000083010000}"/>
    <cellStyle name="Accent1 6" xfId="742" xr:uid="{00000000-0005-0000-0000-000084010000}"/>
    <cellStyle name="Accent2" xfId="231" xr:uid="{00000000-0005-0000-0000-000085010000}"/>
    <cellStyle name="Accent2 2" xfId="232" xr:uid="{00000000-0005-0000-0000-000086010000}"/>
    <cellStyle name="Accent2 3" xfId="233" xr:uid="{00000000-0005-0000-0000-000087010000}"/>
    <cellStyle name="Accent2 4" xfId="234" xr:uid="{00000000-0005-0000-0000-000088010000}"/>
    <cellStyle name="Accent2 4 2" xfId="744" xr:uid="{00000000-0005-0000-0000-000089010000}"/>
    <cellStyle name="Accent2 5" xfId="1111" xr:uid="{00000000-0005-0000-0000-00008A010000}"/>
    <cellStyle name="Accent3" xfId="249" xr:uid="{00000000-0005-0000-0000-00008B010000}"/>
    <cellStyle name="Accent3 2" xfId="235" xr:uid="{00000000-0005-0000-0000-00008C010000}"/>
    <cellStyle name="Accent3 3" xfId="746" xr:uid="{00000000-0005-0000-0000-00008D010000}"/>
    <cellStyle name="Accent4" xfId="236" xr:uid="{00000000-0005-0000-0000-00008E010000}"/>
    <cellStyle name="Accent4 2" xfId="237" xr:uid="{00000000-0005-0000-0000-00008F010000}"/>
    <cellStyle name="Accent4 3" xfId="238" xr:uid="{00000000-0005-0000-0000-000090010000}"/>
    <cellStyle name="Accent4 3 2" xfId="239" xr:uid="{00000000-0005-0000-0000-000091010000}"/>
    <cellStyle name="Accent4 3 3" xfId="240" xr:uid="{00000000-0005-0000-0000-000092010000}"/>
    <cellStyle name="Accent4 4" xfId="241" xr:uid="{00000000-0005-0000-0000-000093010000}"/>
    <cellStyle name="Accent4 4 2" xfId="1110" xr:uid="{00000000-0005-0000-0000-000094010000}"/>
    <cellStyle name="Accent4 4 3" xfId="741" xr:uid="{00000000-0005-0000-0000-000095010000}"/>
    <cellStyle name="Accent4 5" xfId="242" xr:uid="{00000000-0005-0000-0000-000096010000}"/>
    <cellStyle name="Accent4 6" xfId="747" xr:uid="{00000000-0005-0000-0000-000097010000}"/>
    <cellStyle name="Accent5" xfId="254" xr:uid="{00000000-0005-0000-0000-000098010000}"/>
    <cellStyle name="Accent5 2" xfId="243" xr:uid="{00000000-0005-0000-0000-000099010000}"/>
    <cellStyle name="Accent5 3" xfId="749" xr:uid="{00000000-0005-0000-0000-00009A010000}"/>
    <cellStyle name="Accent6" xfId="257" xr:uid="{00000000-0005-0000-0000-00009B010000}"/>
    <cellStyle name="Accent6 2" xfId="244" xr:uid="{00000000-0005-0000-0000-00009C010000}"/>
    <cellStyle name="Accent6 3" xfId="750" xr:uid="{00000000-0005-0000-0000-00009D010000}"/>
    <cellStyle name="Akzent1 2" xfId="245" xr:uid="{00000000-0005-0000-0000-00009E010000}"/>
    <cellStyle name="Akzent1 3" xfId="246" xr:uid="{00000000-0005-0000-0000-00009F010000}"/>
    <cellStyle name="Akzent1 4" xfId="743" xr:uid="{00000000-0005-0000-0000-0000A0010000}"/>
    <cellStyle name="Akzent2 2" xfId="247" xr:uid="{00000000-0005-0000-0000-0000A1010000}"/>
    <cellStyle name="Akzent2 3" xfId="248" xr:uid="{00000000-0005-0000-0000-0000A2010000}"/>
    <cellStyle name="Akzent2 4" xfId="745" xr:uid="{00000000-0005-0000-0000-0000A3010000}"/>
    <cellStyle name="Akzent3 2" xfId="250" xr:uid="{00000000-0005-0000-0000-0000A4010000}"/>
    <cellStyle name="Akzent3 3" xfId="251" xr:uid="{00000000-0005-0000-0000-0000A5010000}"/>
    <cellStyle name="Akzent4 2" xfId="252" xr:uid="{00000000-0005-0000-0000-0000A6010000}"/>
    <cellStyle name="Akzent4 3" xfId="253" xr:uid="{00000000-0005-0000-0000-0000A7010000}"/>
    <cellStyle name="Akzent4 4" xfId="748" xr:uid="{00000000-0005-0000-0000-0000A8010000}"/>
    <cellStyle name="Akzent5 2" xfId="255" xr:uid="{00000000-0005-0000-0000-0000A9010000}"/>
    <cellStyle name="Akzent5 3" xfId="256" xr:uid="{00000000-0005-0000-0000-0000AA010000}"/>
    <cellStyle name="Akzent6 2" xfId="258" xr:uid="{00000000-0005-0000-0000-0000AB010000}"/>
    <cellStyle name="Akzent6 3" xfId="259" xr:uid="{00000000-0005-0000-0000-0000AC010000}"/>
    <cellStyle name="Ausgabe 2" xfId="260" xr:uid="{00000000-0005-0000-0000-0000AD010000}"/>
    <cellStyle name="Ausgabe 2 2" xfId="261" xr:uid="{00000000-0005-0000-0000-0000AE010000}"/>
    <cellStyle name="Ausgabe 2 2 2" xfId="262" xr:uid="{00000000-0005-0000-0000-0000AF010000}"/>
    <cellStyle name="Ausgabe 2 2 3" xfId="263" xr:uid="{00000000-0005-0000-0000-0000B0010000}"/>
    <cellStyle name="Ausgabe 2 2 3 2" xfId="1112" xr:uid="{00000000-0005-0000-0000-0000B1010000}"/>
    <cellStyle name="Ausgabe 2 2 3 3" xfId="753" xr:uid="{00000000-0005-0000-0000-0000B2010000}"/>
    <cellStyle name="Ausgabe 2 2 4" xfId="752" xr:uid="{00000000-0005-0000-0000-0000B3010000}"/>
    <cellStyle name="Ausgabe 2 3" xfId="264" xr:uid="{00000000-0005-0000-0000-0000B4010000}"/>
    <cellStyle name="Ausgabe 2 3 2" xfId="265" xr:uid="{00000000-0005-0000-0000-0000B5010000}"/>
    <cellStyle name="Ausgabe 2 3 2 2" xfId="266" xr:uid="{00000000-0005-0000-0000-0000B6010000}"/>
    <cellStyle name="Ausgabe 2 3 2 3" xfId="267" xr:uid="{00000000-0005-0000-0000-0000B7010000}"/>
    <cellStyle name="Ausgabe 2 3 3" xfId="268" xr:uid="{00000000-0005-0000-0000-0000B8010000}"/>
    <cellStyle name="Ausgabe 2 3 3 2" xfId="1113" xr:uid="{00000000-0005-0000-0000-0000B9010000}"/>
    <cellStyle name="Ausgabe 2 3 3 3" xfId="754" xr:uid="{00000000-0005-0000-0000-0000BA010000}"/>
    <cellStyle name="Ausgabe 2 4" xfId="269" xr:uid="{00000000-0005-0000-0000-0000BB010000}"/>
    <cellStyle name="Ausgabe 2 5" xfId="270" xr:uid="{00000000-0005-0000-0000-0000BC010000}"/>
    <cellStyle name="Ausgabe 2 5 2" xfId="1114" xr:uid="{00000000-0005-0000-0000-0000BD010000}"/>
    <cellStyle name="Ausgabe 2 5 3" xfId="755" xr:uid="{00000000-0005-0000-0000-0000BE010000}"/>
    <cellStyle name="Ausgabe 2 6" xfId="751" xr:uid="{00000000-0005-0000-0000-0000BF010000}"/>
    <cellStyle name="Ausgabe 3" xfId="271" xr:uid="{00000000-0005-0000-0000-0000C0010000}"/>
    <cellStyle name="Ausgabe 3 2" xfId="272" xr:uid="{00000000-0005-0000-0000-0000C1010000}"/>
    <cellStyle name="Ausgabe 3 3" xfId="273" xr:uid="{00000000-0005-0000-0000-0000C2010000}"/>
    <cellStyle name="Ausgabe 3 3 2" xfId="1115" xr:uid="{00000000-0005-0000-0000-0000C3010000}"/>
    <cellStyle name="Ausgabe 3 3 3" xfId="757" xr:uid="{00000000-0005-0000-0000-0000C4010000}"/>
    <cellStyle name="Ausgabe 3 4" xfId="756" xr:uid="{00000000-0005-0000-0000-0000C5010000}"/>
    <cellStyle name="Ausgabe 4" xfId="274" xr:uid="{00000000-0005-0000-0000-0000C6010000}"/>
    <cellStyle name="Ausgabe 5" xfId="275" xr:uid="{00000000-0005-0000-0000-0000C7010000}"/>
    <cellStyle name="Ausgabe 6" xfId="276" xr:uid="{00000000-0005-0000-0000-0000C8010000}"/>
    <cellStyle name="Ausgabe 7" xfId="277" xr:uid="{00000000-0005-0000-0000-0000C9010000}"/>
    <cellStyle name="Ausgabe 7 2" xfId="278" xr:uid="{00000000-0005-0000-0000-0000CA010000}"/>
    <cellStyle name="Ausgabe 7 3" xfId="279" xr:uid="{00000000-0005-0000-0000-0000CB010000}"/>
    <cellStyle name="Ausgabe 7 3 2" xfId="280" xr:uid="{00000000-0005-0000-0000-0000CC010000}"/>
    <cellStyle name="Ausgabe 7 3 3" xfId="281" xr:uid="{00000000-0005-0000-0000-0000CD010000}"/>
    <cellStyle name="Ausgabe 7 3 4" xfId="758" xr:uid="{00000000-0005-0000-0000-0000CE010000}"/>
    <cellStyle name="Ausgabe 7 4" xfId="282" xr:uid="{00000000-0005-0000-0000-0000CF010000}"/>
    <cellStyle name="Ausgabe 8" xfId="283" xr:uid="{00000000-0005-0000-0000-0000D0010000}"/>
    <cellStyle name="Ausgabe 8 2" xfId="284" xr:uid="{00000000-0005-0000-0000-0000D1010000}"/>
    <cellStyle name="Ausgabe 8 3" xfId="285" xr:uid="{00000000-0005-0000-0000-0000D2010000}"/>
    <cellStyle name="Bad" xfId="510" xr:uid="{00000000-0005-0000-0000-0000D3010000}"/>
    <cellStyle name="Bad 2" xfId="286" xr:uid="{00000000-0005-0000-0000-0000D4010000}"/>
    <cellStyle name="Bad 2 2" xfId="759" xr:uid="{00000000-0005-0000-0000-0000D5010000}"/>
    <cellStyle name="Bad 3" xfId="1047" xr:uid="{00000000-0005-0000-0000-0000D6010000}"/>
    <cellStyle name="Berechnung 2" xfId="287" xr:uid="{00000000-0005-0000-0000-0000D7010000}"/>
    <cellStyle name="Berechnung 2 2" xfId="288" xr:uid="{00000000-0005-0000-0000-0000D8010000}"/>
    <cellStyle name="Berechnung 2 3" xfId="289" xr:uid="{00000000-0005-0000-0000-0000D9010000}"/>
    <cellStyle name="Berechnung 2 3 2" xfId="290" xr:uid="{00000000-0005-0000-0000-0000DA010000}"/>
    <cellStyle name="Berechnung 2 3 2 2" xfId="291" xr:uid="{00000000-0005-0000-0000-0000DB010000}"/>
    <cellStyle name="Berechnung 2 3 2 3" xfId="292" xr:uid="{00000000-0005-0000-0000-0000DC010000}"/>
    <cellStyle name="Berechnung 2 3 3" xfId="293" xr:uid="{00000000-0005-0000-0000-0000DD010000}"/>
    <cellStyle name="Berechnung 2 4" xfId="294" xr:uid="{00000000-0005-0000-0000-0000DE010000}"/>
    <cellStyle name="Berechnung 3" xfId="295" xr:uid="{00000000-0005-0000-0000-0000DF010000}"/>
    <cellStyle name="Berechnung 4" xfId="296" xr:uid="{00000000-0005-0000-0000-0000E0010000}"/>
    <cellStyle name="Berechnung 5" xfId="297" xr:uid="{00000000-0005-0000-0000-0000E1010000}"/>
    <cellStyle name="Berechnung 6" xfId="298" xr:uid="{00000000-0005-0000-0000-0000E2010000}"/>
    <cellStyle name="Berechnung 7" xfId="299" xr:uid="{00000000-0005-0000-0000-0000E3010000}"/>
    <cellStyle name="Berechnung 7 2" xfId="300" xr:uid="{00000000-0005-0000-0000-0000E4010000}"/>
    <cellStyle name="Berechnung 7 3" xfId="301" xr:uid="{00000000-0005-0000-0000-0000E5010000}"/>
    <cellStyle name="Berechnung 8" xfId="302" xr:uid="{00000000-0005-0000-0000-0000E6010000}"/>
    <cellStyle name="Calculation 2" xfId="303" xr:uid="{00000000-0005-0000-0000-0000E7010000}"/>
    <cellStyle name="Check Cell" xfId="578" xr:uid="{00000000-0005-0000-0000-0000E8010000}"/>
    <cellStyle name="Check Cell 2" xfId="304" xr:uid="{00000000-0005-0000-0000-0000E9010000}"/>
    <cellStyle name="Check Cell 2 2" xfId="760" xr:uid="{00000000-0005-0000-0000-0000EA010000}"/>
    <cellStyle name="Check Cell 3" xfId="305" xr:uid="{00000000-0005-0000-0000-0000EB010000}"/>
    <cellStyle name="Check Cell 3 2" xfId="762" xr:uid="{00000000-0005-0000-0000-0000EC010000}"/>
    <cellStyle name="Check Cell 3 3" xfId="761" xr:uid="{00000000-0005-0000-0000-0000ED010000}"/>
    <cellStyle name="Check Cell 4" xfId="306" xr:uid="{00000000-0005-0000-0000-0000EE010000}"/>
    <cellStyle name="Check Cell 4 2" xfId="1116" xr:uid="{00000000-0005-0000-0000-0000EF010000}"/>
    <cellStyle name="Check Cell 4 3" xfId="763" xr:uid="{00000000-0005-0000-0000-0000F0010000}"/>
    <cellStyle name="Check Cell 5" xfId="764" xr:uid="{00000000-0005-0000-0000-0000F1010000}"/>
    <cellStyle name="Check Cell 6" xfId="1106" xr:uid="{00000000-0005-0000-0000-0000F2010000}"/>
    <cellStyle name="Eingabe 2" xfId="307" xr:uid="{00000000-0005-0000-0000-0000F3010000}"/>
    <cellStyle name="Eingabe 3" xfId="308" xr:uid="{00000000-0005-0000-0000-0000F4010000}"/>
    <cellStyle name="Eingabe 4" xfId="309" xr:uid="{00000000-0005-0000-0000-0000F5010000}"/>
    <cellStyle name="Eingabe 5" xfId="310" xr:uid="{00000000-0005-0000-0000-0000F6010000}"/>
    <cellStyle name="Eingabe 6" xfId="311" xr:uid="{00000000-0005-0000-0000-0000F7010000}"/>
    <cellStyle name="Eingabe 7" xfId="312" xr:uid="{00000000-0005-0000-0000-0000F8010000}"/>
    <cellStyle name="Ergebnis 2" xfId="313" xr:uid="{00000000-0005-0000-0000-0000F9010000}"/>
    <cellStyle name="Ergebnis 2 2" xfId="314" xr:uid="{00000000-0005-0000-0000-0000FA010000}"/>
    <cellStyle name="Ergebnis 2 2 2" xfId="315" xr:uid="{00000000-0005-0000-0000-0000FB010000}"/>
    <cellStyle name="Ergebnis 2 3" xfId="316" xr:uid="{00000000-0005-0000-0000-0000FC010000}"/>
    <cellStyle name="Ergebnis 2 4" xfId="317" xr:uid="{00000000-0005-0000-0000-0000FD010000}"/>
    <cellStyle name="Ergebnis 2 4 2" xfId="318" xr:uid="{00000000-0005-0000-0000-0000FE010000}"/>
    <cellStyle name="Ergebnis 2 4 2 2" xfId="319" xr:uid="{00000000-0005-0000-0000-0000FF010000}"/>
    <cellStyle name="Ergebnis 2 4 2 3" xfId="320" xr:uid="{00000000-0005-0000-0000-000000020000}"/>
    <cellStyle name="Ergebnis 2 4 3" xfId="321" xr:uid="{00000000-0005-0000-0000-000001020000}"/>
    <cellStyle name="Ergebnis 2 5" xfId="322" xr:uid="{00000000-0005-0000-0000-000002020000}"/>
    <cellStyle name="Ergebnis 3" xfId="323" xr:uid="{00000000-0005-0000-0000-000003020000}"/>
    <cellStyle name="Ergebnis 3 2" xfId="324" xr:uid="{00000000-0005-0000-0000-000004020000}"/>
    <cellStyle name="Ergebnis 4" xfId="325" xr:uid="{00000000-0005-0000-0000-000005020000}"/>
    <cellStyle name="Ergebnis 4 2" xfId="326" xr:uid="{00000000-0005-0000-0000-000006020000}"/>
    <cellStyle name="Ergebnis 5" xfId="327" xr:uid="{00000000-0005-0000-0000-000007020000}"/>
    <cellStyle name="Ergebnis 6" xfId="328" xr:uid="{00000000-0005-0000-0000-000008020000}"/>
    <cellStyle name="Ergebnis 7" xfId="329" xr:uid="{00000000-0005-0000-0000-000009020000}"/>
    <cellStyle name="Ergebnis 8" xfId="330" xr:uid="{00000000-0005-0000-0000-00000A020000}"/>
    <cellStyle name="Ergebnis 8 2" xfId="331" xr:uid="{00000000-0005-0000-0000-00000B020000}"/>
    <cellStyle name="Ergebnis 8 3" xfId="332" xr:uid="{00000000-0005-0000-0000-00000C020000}"/>
    <cellStyle name="Ergebnis 9" xfId="333" xr:uid="{00000000-0005-0000-0000-00000D020000}"/>
    <cellStyle name="Erklärender Text 2" xfId="334" xr:uid="{00000000-0005-0000-0000-00000E020000}"/>
    <cellStyle name="Erklärender Text 3" xfId="335" xr:uid="{00000000-0005-0000-0000-00000F020000}"/>
    <cellStyle name="Erklärender Text 4" xfId="336" xr:uid="{00000000-0005-0000-0000-000010020000}"/>
    <cellStyle name="Erklärender Text 5" xfId="337" xr:uid="{00000000-0005-0000-0000-000011020000}"/>
    <cellStyle name="Erklärender Text 6" xfId="338" xr:uid="{00000000-0005-0000-0000-000012020000}"/>
    <cellStyle name="Good" xfId="340" xr:uid="{00000000-0005-0000-0000-000013020000}"/>
    <cellStyle name="Good 2" xfId="339" xr:uid="{00000000-0005-0000-0000-000014020000}"/>
    <cellStyle name="Good 2 2" xfId="765" xr:uid="{00000000-0005-0000-0000-000015020000}"/>
    <cellStyle name="Good 3" xfId="766" xr:uid="{00000000-0005-0000-0000-000016020000}"/>
    <cellStyle name="Gut 2" xfId="341" xr:uid="{00000000-0005-0000-0000-000017020000}"/>
    <cellStyle name="Gut 3" xfId="342" xr:uid="{00000000-0005-0000-0000-000018020000}"/>
    <cellStyle name="Heading 1" xfId="343" xr:uid="{00000000-0005-0000-0000-000019020000}"/>
    <cellStyle name="Heading 1 2" xfId="344" xr:uid="{00000000-0005-0000-0000-00001A020000}"/>
    <cellStyle name="Heading 1 2 2" xfId="345" xr:uid="{00000000-0005-0000-0000-00001B020000}"/>
    <cellStyle name="Heading 1 2 2 2" xfId="1117" xr:uid="{00000000-0005-0000-0000-00001C020000}"/>
    <cellStyle name="Heading 1 2 2 3" xfId="767" xr:uid="{00000000-0005-0000-0000-00001D020000}"/>
    <cellStyle name="Heading 1 2 3" xfId="346" xr:uid="{00000000-0005-0000-0000-00001E020000}"/>
    <cellStyle name="Heading 1 3" xfId="347" xr:uid="{00000000-0005-0000-0000-00001F020000}"/>
    <cellStyle name="Heading 1 3 2" xfId="1118" xr:uid="{00000000-0005-0000-0000-000020020000}"/>
    <cellStyle name="Heading 1 3 3" xfId="768" xr:uid="{00000000-0005-0000-0000-000021020000}"/>
    <cellStyle name="Heading 1 4" xfId="348" xr:uid="{00000000-0005-0000-0000-000022020000}"/>
    <cellStyle name="Heading 1 5" xfId="1096" xr:uid="{00000000-0005-0000-0000-000023020000}"/>
    <cellStyle name="Heading 2" xfId="349" xr:uid="{00000000-0005-0000-0000-000024020000}"/>
    <cellStyle name="Heading 2 2" xfId="350" xr:uid="{00000000-0005-0000-0000-000025020000}"/>
    <cellStyle name="Heading 2 2 2" xfId="351" xr:uid="{00000000-0005-0000-0000-000026020000}"/>
    <cellStyle name="Heading 2 2 2 2" xfId="1119" xr:uid="{00000000-0005-0000-0000-000027020000}"/>
    <cellStyle name="Heading 2 2 2 3" xfId="770" xr:uid="{00000000-0005-0000-0000-000028020000}"/>
    <cellStyle name="Heading 2 2 3" xfId="352" xr:uid="{00000000-0005-0000-0000-000029020000}"/>
    <cellStyle name="Heading 2 2 4" xfId="769" xr:uid="{00000000-0005-0000-0000-00002A020000}"/>
    <cellStyle name="Heading 2 3" xfId="353" xr:uid="{00000000-0005-0000-0000-00002B020000}"/>
    <cellStyle name="Heading 2 3 2" xfId="1120" xr:uid="{00000000-0005-0000-0000-00002C020000}"/>
    <cellStyle name="Heading 2 3 3" xfId="771" xr:uid="{00000000-0005-0000-0000-00002D020000}"/>
    <cellStyle name="Heading 2 4" xfId="354" xr:uid="{00000000-0005-0000-0000-00002E020000}"/>
    <cellStyle name="Heading 2 5" xfId="1098" xr:uid="{00000000-0005-0000-0000-00002F020000}"/>
    <cellStyle name="Heading 3" xfId="355" xr:uid="{00000000-0005-0000-0000-000030020000}"/>
    <cellStyle name="Heading 3 2" xfId="356" xr:uid="{00000000-0005-0000-0000-000031020000}"/>
    <cellStyle name="Heading 3 2 2" xfId="357" xr:uid="{00000000-0005-0000-0000-000032020000}"/>
    <cellStyle name="Heading 3 2 2 2" xfId="1121" xr:uid="{00000000-0005-0000-0000-000033020000}"/>
    <cellStyle name="Heading 3 2 2 3" xfId="773" xr:uid="{00000000-0005-0000-0000-000034020000}"/>
    <cellStyle name="Heading 3 2 3" xfId="358" xr:uid="{00000000-0005-0000-0000-000035020000}"/>
    <cellStyle name="Heading 3 2 4" xfId="772" xr:uid="{00000000-0005-0000-0000-000036020000}"/>
    <cellStyle name="Heading 3 3" xfId="359" xr:uid="{00000000-0005-0000-0000-000037020000}"/>
    <cellStyle name="Heading 3 3 2" xfId="1122" xr:uid="{00000000-0005-0000-0000-000038020000}"/>
    <cellStyle name="Heading 3 3 3" xfId="774" xr:uid="{00000000-0005-0000-0000-000039020000}"/>
    <cellStyle name="Heading 3 4" xfId="360" xr:uid="{00000000-0005-0000-0000-00003A020000}"/>
    <cellStyle name="Heading 3 5" xfId="1100" xr:uid="{00000000-0005-0000-0000-00003B020000}"/>
    <cellStyle name="Heading 4" xfId="361" xr:uid="{00000000-0005-0000-0000-00003C020000}"/>
    <cellStyle name="Heading 4 2" xfId="362" xr:uid="{00000000-0005-0000-0000-00003D020000}"/>
    <cellStyle name="Heading 4 2 2" xfId="363" xr:uid="{00000000-0005-0000-0000-00003E020000}"/>
    <cellStyle name="Heading 4 2 2 2" xfId="1123" xr:uid="{00000000-0005-0000-0000-00003F020000}"/>
    <cellStyle name="Heading 4 2 2 3" xfId="775" xr:uid="{00000000-0005-0000-0000-000040020000}"/>
    <cellStyle name="Heading 4 2 3" xfId="364" xr:uid="{00000000-0005-0000-0000-000041020000}"/>
    <cellStyle name="Heading 4 3" xfId="365" xr:uid="{00000000-0005-0000-0000-000042020000}"/>
    <cellStyle name="Heading 4 3 2" xfId="1124" xr:uid="{00000000-0005-0000-0000-000043020000}"/>
    <cellStyle name="Heading 4 3 3" xfId="776" xr:uid="{00000000-0005-0000-0000-000044020000}"/>
    <cellStyle name="Heading 4 4" xfId="366" xr:uid="{00000000-0005-0000-0000-000045020000}"/>
    <cellStyle name="Heading 4 5" xfId="1102" xr:uid="{00000000-0005-0000-0000-000046020000}"/>
    <cellStyle name="Hyperlink" xfId="367" builtinId="8"/>
    <cellStyle name="Input 2" xfId="368" xr:uid="{00000000-0005-0000-0000-000048020000}"/>
    <cellStyle name="Komma 2" xfId="369" xr:uid="{00000000-0005-0000-0000-000049020000}"/>
    <cellStyle name="Linked Cell" xfId="566" xr:uid="{00000000-0005-0000-0000-00004A020000}"/>
    <cellStyle name="Linked Cell 2" xfId="370" xr:uid="{00000000-0005-0000-0000-00004B020000}"/>
    <cellStyle name="Linked Cell 2 2" xfId="777" xr:uid="{00000000-0005-0000-0000-00004C020000}"/>
    <cellStyle name="Linked Cell 3" xfId="1105" xr:uid="{00000000-0005-0000-0000-00004D020000}"/>
    <cellStyle name="Neutral" xfId="371" builtinId="28" customBuiltin="1"/>
    <cellStyle name="Neutral 2" xfId="778" xr:uid="{00000000-0005-0000-0000-00004F020000}"/>
    <cellStyle name="Normal" xfId="0" builtinId="0"/>
    <cellStyle name="Normal 2" xfId="372" xr:uid="{00000000-0005-0000-0000-000050020000}"/>
    <cellStyle name="Note" xfId="373" xr:uid="{00000000-0005-0000-0000-000051020000}"/>
    <cellStyle name="Note 2" xfId="374" xr:uid="{00000000-0005-0000-0000-000052020000}"/>
    <cellStyle name="Note 2 2" xfId="375" xr:uid="{00000000-0005-0000-0000-000053020000}"/>
    <cellStyle name="Note 3" xfId="376" xr:uid="{00000000-0005-0000-0000-000054020000}"/>
    <cellStyle name="Note 3 2" xfId="779" xr:uid="{00000000-0005-0000-0000-000055020000}"/>
    <cellStyle name="Note 4" xfId="377" xr:uid="{00000000-0005-0000-0000-000056020000}"/>
    <cellStyle name="Note 4 2" xfId="781" xr:uid="{00000000-0005-0000-0000-000057020000}"/>
    <cellStyle name="Note 4 3" xfId="780" xr:uid="{00000000-0005-0000-0000-000058020000}"/>
    <cellStyle name="Note 5" xfId="378" xr:uid="{00000000-0005-0000-0000-000059020000}"/>
    <cellStyle name="Note 5 2" xfId="782" xr:uid="{00000000-0005-0000-0000-00005A020000}"/>
    <cellStyle name="Note 6" xfId="783" xr:uid="{00000000-0005-0000-0000-00005B020000}"/>
    <cellStyle name="Notiz 2" xfId="379" xr:uid="{00000000-0005-0000-0000-00005C020000}"/>
    <cellStyle name="Notiz 2 2" xfId="380" xr:uid="{00000000-0005-0000-0000-00005D020000}"/>
    <cellStyle name="Notiz 2 2 2" xfId="381" xr:uid="{00000000-0005-0000-0000-00005E020000}"/>
    <cellStyle name="Notiz 2 2 2 2" xfId="382" xr:uid="{00000000-0005-0000-0000-00005F020000}"/>
    <cellStyle name="Notiz 2 2 2 2 2" xfId="383" xr:uid="{00000000-0005-0000-0000-000060020000}"/>
    <cellStyle name="Notiz 2 2 2 2 2 2" xfId="784" xr:uid="{00000000-0005-0000-0000-000061020000}"/>
    <cellStyle name="Notiz 2 2 2 2 2 3" xfId="785" xr:uid="{00000000-0005-0000-0000-000062020000}"/>
    <cellStyle name="Notiz 2 2 2 2 2 4" xfId="786" xr:uid="{00000000-0005-0000-0000-000063020000}"/>
    <cellStyle name="Notiz 2 2 2 2 3" xfId="787" xr:uid="{00000000-0005-0000-0000-000064020000}"/>
    <cellStyle name="Notiz 2 2 2 2 4" xfId="788" xr:uid="{00000000-0005-0000-0000-000065020000}"/>
    <cellStyle name="Notiz 2 2 2 2 5" xfId="789" xr:uid="{00000000-0005-0000-0000-000066020000}"/>
    <cellStyle name="Notiz 2 2 2 3" xfId="384" xr:uid="{00000000-0005-0000-0000-000067020000}"/>
    <cellStyle name="Notiz 2 2 2 3 2" xfId="790" xr:uid="{00000000-0005-0000-0000-000068020000}"/>
    <cellStyle name="Notiz 2 2 2 3 3" xfId="791" xr:uid="{00000000-0005-0000-0000-000069020000}"/>
    <cellStyle name="Notiz 2 2 2 3 4" xfId="792" xr:uid="{00000000-0005-0000-0000-00006A020000}"/>
    <cellStyle name="Notiz 2 2 2 4" xfId="793" xr:uid="{00000000-0005-0000-0000-00006B020000}"/>
    <cellStyle name="Notiz 2 2 2 5" xfId="794" xr:uid="{00000000-0005-0000-0000-00006C020000}"/>
    <cellStyle name="Notiz 2 2 2 6" xfId="795" xr:uid="{00000000-0005-0000-0000-00006D020000}"/>
    <cellStyle name="Notiz 2 2 3" xfId="385" xr:uid="{00000000-0005-0000-0000-00006E020000}"/>
    <cellStyle name="Notiz 2 2 3 2" xfId="386" xr:uid="{00000000-0005-0000-0000-00006F020000}"/>
    <cellStyle name="Notiz 2 2 3 2 2" xfId="796" xr:uid="{00000000-0005-0000-0000-000070020000}"/>
    <cellStyle name="Notiz 2 2 3 2 3" xfId="797" xr:uid="{00000000-0005-0000-0000-000071020000}"/>
    <cellStyle name="Notiz 2 2 3 2 4" xfId="798" xr:uid="{00000000-0005-0000-0000-000072020000}"/>
    <cellStyle name="Notiz 2 2 3 3" xfId="799" xr:uid="{00000000-0005-0000-0000-000073020000}"/>
    <cellStyle name="Notiz 2 2 3 4" xfId="800" xr:uid="{00000000-0005-0000-0000-000074020000}"/>
    <cellStyle name="Notiz 2 2 3 5" xfId="801" xr:uid="{00000000-0005-0000-0000-000075020000}"/>
    <cellStyle name="Notiz 2 2 4" xfId="387" xr:uid="{00000000-0005-0000-0000-000076020000}"/>
    <cellStyle name="Notiz 2 2 4 2" xfId="388" xr:uid="{00000000-0005-0000-0000-000077020000}"/>
    <cellStyle name="Notiz 2 2 4 3" xfId="389" xr:uid="{00000000-0005-0000-0000-000078020000}"/>
    <cellStyle name="Notiz 2 2 4 3 2" xfId="390" xr:uid="{00000000-0005-0000-0000-000079020000}"/>
    <cellStyle name="Notiz 2 2 4 3 3" xfId="391" xr:uid="{00000000-0005-0000-0000-00007A020000}"/>
    <cellStyle name="Notiz 2 2 4 3 4" xfId="802" xr:uid="{00000000-0005-0000-0000-00007B020000}"/>
    <cellStyle name="Notiz 2 2 4 4" xfId="392" xr:uid="{00000000-0005-0000-0000-00007C020000}"/>
    <cellStyle name="Notiz 2 2 4 4 2" xfId="803" xr:uid="{00000000-0005-0000-0000-00007D020000}"/>
    <cellStyle name="Notiz 2 2 4 5" xfId="804" xr:uid="{00000000-0005-0000-0000-00007E020000}"/>
    <cellStyle name="Notiz 2 2 5" xfId="393" xr:uid="{00000000-0005-0000-0000-00007F020000}"/>
    <cellStyle name="Notiz 2 2 5 2" xfId="394" xr:uid="{00000000-0005-0000-0000-000080020000}"/>
    <cellStyle name="Notiz 2 2 5 3" xfId="395" xr:uid="{00000000-0005-0000-0000-000081020000}"/>
    <cellStyle name="Notiz 2 2 5 4" xfId="396" xr:uid="{00000000-0005-0000-0000-000082020000}"/>
    <cellStyle name="Notiz 2 2 5 4 2" xfId="1125" xr:uid="{00000000-0005-0000-0000-000083020000}"/>
    <cellStyle name="Notiz 2 2 5 4 3" xfId="805" xr:uid="{00000000-0005-0000-0000-000084020000}"/>
    <cellStyle name="Notiz 2 2 6" xfId="806" xr:uid="{00000000-0005-0000-0000-000085020000}"/>
    <cellStyle name="Notiz 2 3" xfId="397" xr:uid="{00000000-0005-0000-0000-000086020000}"/>
    <cellStyle name="Notiz 2 3 2" xfId="398" xr:uid="{00000000-0005-0000-0000-000087020000}"/>
    <cellStyle name="Notiz 2 3 2 2" xfId="399" xr:uid="{00000000-0005-0000-0000-000088020000}"/>
    <cellStyle name="Notiz 2 3 2 2 2" xfId="807" xr:uid="{00000000-0005-0000-0000-000089020000}"/>
    <cellStyle name="Notiz 2 3 2 2 3" xfId="808" xr:uid="{00000000-0005-0000-0000-00008A020000}"/>
    <cellStyle name="Notiz 2 3 2 2 4" xfId="809" xr:uid="{00000000-0005-0000-0000-00008B020000}"/>
    <cellStyle name="Notiz 2 3 2 3" xfId="810" xr:uid="{00000000-0005-0000-0000-00008C020000}"/>
    <cellStyle name="Notiz 2 3 2 4" xfId="811" xr:uid="{00000000-0005-0000-0000-00008D020000}"/>
    <cellStyle name="Notiz 2 3 2 5" xfId="812" xr:uid="{00000000-0005-0000-0000-00008E020000}"/>
    <cellStyle name="Notiz 2 3 3" xfId="400" xr:uid="{00000000-0005-0000-0000-00008F020000}"/>
    <cellStyle name="Notiz 2 3 3 2" xfId="813" xr:uid="{00000000-0005-0000-0000-000090020000}"/>
    <cellStyle name="Notiz 2 3 3 3" xfId="814" xr:uid="{00000000-0005-0000-0000-000091020000}"/>
    <cellStyle name="Notiz 2 3 3 4" xfId="815" xr:uid="{00000000-0005-0000-0000-000092020000}"/>
    <cellStyle name="Notiz 2 3 4" xfId="816" xr:uid="{00000000-0005-0000-0000-000093020000}"/>
    <cellStyle name="Notiz 2 3 5" xfId="817" xr:uid="{00000000-0005-0000-0000-000094020000}"/>
    <cellStyle name="Notiz 2 3 6" xfId="818" xr:uid="{00000000-0005-0000-0000-000095020000}"/>
    <cellStyle name="Notiz 2 4" xfId="401" xr:uid="{00000000-0005-0000-0000-000096020000}"/>
    <cellStyle name="Notiz 2 4 2" xfId="402" xr:uid="{00000000-0005-0000-0000-000097020000}"/>
    <cellStyle name="Notiz 2 4 2 2" xfId="819" xr:uid="{00000000-0005-0000-0000-000098020000}"/>
    <cellStyle name="Notiz 2 4 2 3" xfId="820" xr:uid="{00000000-0005-0000-0000-000099020000}"/>
    <cellStyle name="Notiz 2 4 2 4" xfId="821" xr:uid="{00000000-0005-0000-0000-00009A020000}"/>
    <cellStyle name="Notiz 2 4 3" xfId="822" xr:uid="{00000000-0005-0000-0000-00009B020000}"/>
    <cellStyle name="Notiz 2 4 4" xfId="823" xr:uid="{00000000-0005-0000-0000-00009C020000}"/>
    <cellStyle name="Notiz 2 4 5" xfId="824" xr:uid="{00000000-0005-0000-0000-00009D020000}"/>
    <cellStyle name="Notiz 2 5" xfId="403" xr:uid="{00000000-0005-0000-0000-00009E020000}"/>
    <cellStyle name="Notiz 2 5 2" xfId="825" xr:uid="{00000000-0005-0000-0000-00009F020000}"/>
    <cellStyle name="Notiz 2 5 3" xfId="826" xr:uid="{00000000-0005-0000-0000-0000A0020000}"/>
    <cellStyle name="Notiz 2 5 4" xfId="827" xr:uid="{00000000-0005-0000-0000-0000A1020000}"/>
    <cellStyle name="Notiz 2 6" xfId="828" xr:uid="{00000000-0005-0000-0000-0000A2020000}"/>
    <cellStyle name="Notiz 2 7" xfId="829" xr:uid="{00000000-0005-0000-0000-0000A3020000}"/>
    <cellStyle name="Notiz 2 8" xfId="830" xr:uid="{00000000-0005-0000-0000-0000A4020000}"/>
    <cellStyle name="Notiz 3" xfId="404" xr:uid="{00000000-0005-0000-0000-0000A5020000}"/>
    <cellStyle name="Notiz 3 2" xfId="405" xr:uid="{00000000-0005-0000-0000-0000A6020000}"/>
    <cellStyle name="Notiz 3 2 2" xfId="406" xr:uid="{00000000-0005-0000-0000-0000A7020000}"/>
    <cellStyle name="Notiz 3 2 2 2" xfId="407" xr:uid="{00000000-0005-0000-0000-0000A8020000}"/>
    <cellStyle name="Notiz 3 2 2 2 2" xfId="831" xr:uid="{00000000-0005-0000-0000-0000A9020000}"/>
    <cellStyle name="Notiz 3 2 2 2 3" xfId="832" xr:uid="{00000000-0005-0000-0000-0000AA020000}"/>
    <cellStyle name="Notiz 3 2 2 2 4" xfId="833" xr:uid="{00000000-0005-0000-0000-0000AB020000}"/>
    <cellStyle name="Notiz 3 2 2 3" xfId="834" xr:uid="{00000000-0005-0000-0000-0000AC020000}"/>
    <cellStyle name="Notiz 3 2 2 4" xfId="835" xr:uid="{00000000-0005-0000-0000-0000AD020000}"/>
    <cellStyle name="Notiz 3 2 2 5" xfId="836" xr:uid="{00000000-0005-0000-0000-0000AE020000}"/>
    <cellStyle name="Notiz 3 2 3" xfId="408" xr:uid="{00000000-0005-0000-0000-0000AF020000}"/>
    <cellStyle name="Notiz 3 2 3 2" xfId="837" xr:uid="{00000000-0005-0000-0000-0000B0020000}"/>
    <cellStyle name="Notiz 3 2 3 3" xfId="838" xr:uid="{00000000-0005-0000-0000-0000B1020000}"/>
    <cellStyle name="Notiz 3 2 3 4" xfId="839" xr:uid="{00000000-0005-0000-0000-0000B2020000}"/>
    <cellStyle name="Notiz 3 2 4" xfId="840" xr:uid="{00000000-0005-0000-0000-0000B3020000}"/>
    <cellStyle name="Notiz 3 2 5" xfId="841" xr:uid="{00000000-0005-0000-0000-0000B4020000}"/>
    <cellStyle name="Notiz 3 2 6" xfId="842" xr:uid="{00000000-0005-0000-0000-0000B5020000}"/>
    <cellStyle name="Notiz 3 3" xfId="409" xr:uid="{00000000-0005-0000-0000-0000B6020000}"/>
    <cellStyle name="Notiz 3 3 2" xfId="410" xr:uid="{00000000-0005-0000-0000-0000B7020000}"/>
    <cellStyle name="Notiz 3 3 2 2" xfId="843" xr:uid="{00000000-0005-0000-0000-0000B8020000}"/>
    <cellStyle name="Notiz 3 3 2 3" xfId="844" xr:uid="{00000000-0005-0000-0000-0000B9020000}"/>
    <cellStyle name="Notiz 3 3 2 4" xfId="845" xr:uid="{00000000-0005-0000-0000-0000BA020000}"/>
    <cellStyle name="Notiz 3 3 3" xfId="846" xr:uid="{00000000-0005-0000-0000-0000BB020000}"/>
    <cellStyle name="Notiz 3 3 4" xfId="847" xr:uid="{00000000-0005-0000-0000-0000BC020000}"/>
    <cellStyle name="Notiz 3 3 5" xfId="848" xr:uid="{00000000-0005-0000-0000-0000BD020000}"/>
    <cellStyle name="Notiz 3 4" xfId="411" xr:uid="{00000000-0005-0000-0000-0000BE020000}"/>
    <cellStyle name="Notiz 3 4 2" xfId="849" xr:uid="{00000000-0005-0000-0000-0000BF020000}"/>
    <cellStyle name="Notiz 3 4 3" xfId="850" xr:uid="{00000000-0005-0000-0000-0000C0020000}"/>
    <cellStyle name="Notiz 3 4 4" xfId="851" xr:uid="{00000000-0005-0000-0000-0000C1020000}"/>
    <cellStyle name="Notiz 3 5" xfId="852" xr:uid="{00000000-0005-0000-0000-0000C2020000}"/>
    <cellStyle name="Notiz 3 6" xfId="853" xr:uid="{00000000-0005-0000-0000-0000C3020000}"/>
    <cellStyle name="Notiz 3 7" xfId="854" xr:uid="{00000000-0005-0000-0000-0000C4020000}"/>
    <cellStyle name="Notiz 4" xfId="412" xr:uid="{00000000-0005-0000-0000-0000C5020000}"/>
    <cellStyle name="Notiz 4 2" xfId="413" xr:uid="{00000000-0005-0000-0000-0000C6020000}"/>
    <cellStyle name="Notiz 4 2 2" xfId="414" xr:uid="{00000000-0005-0000-0000-0000C7020000}"/>
    <cellStyle name="Notiz 4 2 2 2" xfId="855" xr:uid="{00000000-0005-0000-0000-0000C8020000}"/>
    <cellStyle name="Notiz 4 2 2 3" xfId="856" xr:uid="{00000000-0005-0000-0000-0000C9020000}"/>
    <cellStyle name="Notiz 4 2 2 4" xfId="857" xr:uid="{00000000-0005-0000-0000-0000CA020000}"/>
    <cellStyle name="Notiz 4 2 3" xfId="858" xr:uid="{00000000-0005-0000-0000-0000CB020000}"/>
    <cellStyle name="Notiz 4 2 4" xfId="859" xr:uid="{00000000-0005-0000-0000-0000CC020000}"/>
    <cellStyle name="Notiz 4 2 5" xfId="860" xr:uid="{00000000-0005-0000-0000-0000CD020000}"/>
    <cellStyle name="Notiz 4 3" xfId="415" xr:uid="{00000000-0005-0000-0000-0000CE020000}"/>
    <cellStyle name="Notiz 4 3 2" xfId="861" xr:uid="{00000000-0005-0000-0000-0000CF020000}"/>
    <cellStyle name="Notiz 4 3 3" xfId="862" xr:uid="{00000000-0005-0000-0000-0000D0020000}"/>
    <cellStyle name="Notiz 4 3 4" xfId="863" xr:uid="{00000000-0005-0000-0000-0000D1020000}"/>
    <cellStyle name="Notiz 4 4" xfId="864" xr:uid="{00000000-0005-0000-0000-0000D2020000}"/>
    <cellStyle name="Notiz 4 5" xfId="865" xr:uid="{00000000-0005-0000-0000-0000D3020000}"/>
    <cellStyle name="Notiz 4 6" xfId="866" xr:uid="{00000000-0005-0000-0000-0000D4020000}"/>
    <cellStyle name="Notiz 5" xfId="416" xr:uid="{00000000-0005-0000-0000-0000D5020000}"/>
    <cellStyle name="Notiz 5 2" xfId="417" xr:uid="{00000000-0005-0000-0000-0000D6020000}"/>
    <cellStyle name="Notiz 5 2 2" xfId="418" xr:uid="{00000000-0005-0000-0000-0000D7020000}"/>
    <cellStyle name="Notiz 5 2 2 2" xfId="867" xr:uid="{00000000-0005-0000-0000-0000D8020000}"/>
    <cellStyle name="Notiz 5 2 2 3" xfId="868" xr:uid="{00000000-0005-0000-0000-0000D9020000}"/>
    <cellStyle name="Notiz 5 2 2 4" xfId="869" xr:uid="{00000000-0005-0000-0000-0000DA020000}"/>
    <cellStyle name="Notiz 5 2 3" xfId="870" xr:uid="{00000000-0005-0000-0000-0000DB020000}"/>
    <cellStyle name="Notiz 5 2 4" xfId="871" xr:uid="{00000000-0005-0000-0000-0000DC020000}"/>
    <cellStyle name="Notiz 5 2 5" xfId="872" xr:uid="{00000000-0005-0000-0000-0000DD020000}"/>
    <cellStyle name="Notiz 5 3" xfId="419" xr:uid="{00000000-0005-0000-0000-0000DE020000}"/>
    <cellStyle name="Notiz 5 3 2" xfId="873" xr:uid="{00000000-0005-0000-0000-0000DF020000}"/>
    <cellStyle name="Notiz 5 3 3" xfId="874" xr:uid="{00000000-0005-0000-0000-0000E0020000}"/>
    <cellStyle name="Notiz 5 3 4" xfId="875" xr:uid="{00000000-0005-0000-0000-0000E1020000}"/>
    <cellStyle name="Notiz 5 4" xfId="876" xr:uid="{00000000-0005-0000-0000-0000E2020000}"/>
    <cellStyle name="Notiz 5 5" xfId="877" xr:uid="{00000000-0005-0000-0000-0000E3020000}"/>
    <cellStyle name="Notiz 5 6" xfId="878" xr:uid="{00000000-0005-0000-0000-0000E4020000}"/>
    <cellStyle name="Notiz 6" xfId="420" xr:uid="{00000000-0005-0000-0000-0000E5020000}"/>
    <cellStyle name="Notiz 6 2" xfId="421" xr:uid="{00000000-0005-0000-0000-0000E6020000}"/>
    <cellStyle name="Notiz 6 2 2" xfId="879" xr:uid="{00000000-0005-0000-0000-0000E7020000}"/>
    <cellStyle name="Notiz 6 2 3" xfId="880" xr:uid="{00000000-0005-0000-0000-0000E8020000}"/>
    <cellStyle name="Notiz 6 2 4" xfId="881" xr:uid="{00000000-0005-0000-0000-0000E9020000}"/>
    <cellStyle name="Notiz 6 3" xfId="882" xr:uid="{00000000-0005-0000-0000-0000EA020000}"/>
    <cellStyle name="Notiz 6 4" xfId="883" xr:uid="{00000000-0005-0000-0000-0000EB020000}"/>
    <cellStyle name="Notiz 6 5" xfId="884" xr:uid="{00000000-0005-0000-0000-0000EC020000}"/>
    <cellStyle name="Notiz 7" xfId="422" xr:uid="{00000000-0005-0000-0000-0000ED020000}"/>
    <cellStyle name="Notiz 7 2" xfId="885" xr:uid="{00000000-0005-0000-0000-0000EE020000}"/>
    <cellStyle name="Notiz 7 3" xfId="886" xr:uid="{00000000-0005-0000-0000-0000EF020000}"/>
    <cellStyle name="Notiz 7 4" xfId="887" xr:uid="{00000000-0005-0000-0000-0000F0020000}"/>
    <cellStyle name="Notiz 8" xfId="423" xr:uid="{00000000-0005-0000-0000-0000F1020000}"/>
    <cellStyle name="Notiz 9" xfId="888" xr:uid="{00000000-0005-0000-0000-0000F2020000}"/>
    <cellStyle name="Output 2" xfId="424" xr:uid="{00000000-0005-0000-0000-0000F3020000}"/>
    <cellStyle name="Percent" xfId="425" builtinId="5"/>
    <cellStyle name="Percent 2" xfId="889" xr:uid="{00000000-0005-0000-0000-0000F4020000}"/>
    <cellStyle name="Prozent 10" xfId="426" xr:uid="{00000000-0005-0000-0000-0000F6020000}"/>
    <cellStyle name="Prozent 10 2" xfId="427" xr:uid="{00000000-0005-0000-0000-0000F7020000}"/>
    <cellStyle name="Prozent 10 3" xfId="428" xr:uid="{00000000-0005-0000-0000-0000F8020000}"/>
    <cellStyle name="Prozent 10 3 2" xfId="891" xr:uid="{00000000-0005-0000-0000-0000F9020000}"/>
    <cellStyle name="Prozent 10 3 3" xfId="890" xr:uid="{00000000-0005-0000-0000-0000FA020000}"/>
    <cellStyle name="Prozent 10 4" xfId="429" xr:uid="{00000000-0005-0000-0000-0000FB020000}"/>
    <cellStyle name="Prozent 10 4 2" xfId="1126" xr:uid="{00000000-0005-0000-0000-0000FC020000}"/>
    <cellStyle name="Prozent 10 4 3" xfId="892" xr:uid="{00000000-0005-0000-0000-0000FD020000}"/>
    <cellStyle name="Prozent 11" xfId="430" xr:uid="{00000000-0005-0000-0000-0000FE020000}"/>
    <cellStyle name="Prozent 12" xfId="431" xr:uid="{00000000-0005-0000-0000-0000FF020000}"/>
    <cellStyle name="Prozent 13" xfId="893" xr:uid="{00000000-0005-0000-0000-000000030000}"/>
    <cellStyle name="Prozent 2" xfId="432" xr:uid="{00000000-0005-0000-0000-000001030000}"/>
    <cellStyle name="Prozent 3" xfId="433" xr:uid="{00000000-0005-0000-0000-000002030000}"/>
    <cellStyle name="Prozent 3 2" xfId="434" xr:uid="{00000000-0005-0000-0000-000003030000}"/>
    <cellStyle name="Prozent 3 2 2" xfId="435" xr:uid="{00000000-0005-0000-0000-000004030000}"/>
    <cellStyle name="Prozent 3 2 2 2" xfId="436" xr:uid="{00000000-0005-0000-0000-000005030000}"/>
    <cellStyle name="Prozent 3 2 2 2 2" xfId="437" xr:uid="{00000000-0005-0000-0000-000006030000}"/>
    <cellStyle name="Prozent 3 2 2 2 2 2" xfId="894" xr:uid="{00000000-0005-0000-0000-000007030000}"/>
    <cellStyle name="Prozent 3 2 2 2 2 3" xfId="895" xr:uid="{00000000-0005-0000-0000-000008030000}"/>
    <cellStyle name="Prozent 3 2 2 2 2 4" xfId="896" xr:uid="{00000000-0005-0000-0000-000009030000}"/>
    <cellStyle name="Prozent 3 2 2 2 3" xfId="897" xr:uid="{00000000-0005-0000-0000-00000A030000}"/>
    <cellStyle name="Prozent 3 2 2 2 4" xfId="898" xr:uid="{00000000-0005-0000-0000-00000B030000}"/>
    <cellStyle name="Prozent 3 2 2 2 5" xfId="899" xr:uid="{00000000-0005-0000-0000-00000C030000}"/>
    <cellStyle name="Prozent 3 2 2 3" xfId="438" xr:uid="{00000000-0005-0000-0000-00000D030000}"/>
    <cellStyle name="Prozent 3 2 2 3 2" xfId="900" xr:uid="{00000000-0005-0000-0000-00000E030000}"/>
    <cellStyle name="Prozent 3 2 2 3 3" xfId="901" xr:uid="{00000000-0005-0000-0000-00000F030000}"/>
    <cellStyle name="Prozent 3 2 2 3 4" xfId="902" xr:uid="{00000000-0005-0000-0000-000010030000}"/>
    <cellStyle name="Prozent 3 2 2 4" xfId="903" xr:uid="{00000000-0005-0000-0000-000011030000}"/>
    <cellStyle name="Prozent 3 2 2 5" xfId="904" xr:uid="{00000000-0005-0000-0000-000012030000}"/>
    <cellStyle name="Prozent 3 2 2 6" xfId="905" xr:uid="{00000000-0005-0000-0000-000013030000}"/>
    <cellStyle name="Prozent 3 2 3" xfId="439" xr:uid="{00000000-0005-0000-0000-000014030000}"/>
    <cellStyle name="Prozent 3 2 3 2" xfId="440" xr:uid="{00000000-0005-0000-0000-000015030000}"/>
    <cellStyle name="Prozent 3 2 3 2 2" xfId="906" xr:uid="{00000000-0005-0000-0000-000016030000}"/>
    <cellStyle name="Prozent 3 2 3 2 3" xfId="907" xr:uid="{00000000-0005-0000-0000-000017030000}"/>
    <cellStyle name="Prozent 3 2 3 2 4" xfId="908" xr:uid="{00000000-0005-0000-0000-000018030000}"/>
    <cellStyle name="Prozent 3 2 3 3" xfId="909" xr:uid="{00000000-0005-0000-0000-000019030000}"/>
    <cellStyle name="Prozent 3 2 3 4" xfId="910" xr:uid="{00000000-0005-0000-0000-00001A030000}"/>
    <cellStyle name="Prozent 3 2 3 5" xfId="911" xr:uid="{00000000-0005-0000-0000-00001B030000}"/>
    <cellStyle name="Prozent 3 2 4" xfId="441" xr:uid="{00000000-0005-0000-0000-00001C030000}"/>
    <cellStyle name="Prozent 3 2 4 2" xfId="442" xr:uid="{00000000-0005-0000-0000-00001D030000}"/>
    <cellStyle name="Prozent 3 2 4 3" xfId="443" xr:uid="{00000000-0005-0000-0000-00001E030000}"/>
    <cellStyle name="Prozent 3 2 4 4" xfId="912" xr:uid="{00000000-0005-0000-0000-00001F030000}"/>
    <cellStyle name="Prozent 3 2 4 5" xfId="913" xr:uid="{00000000-0005-0000-0000-000020030000}"/>
    <cellStyle name="Prozent 3 2 5" xfId="444" xr:uid="{00000000-0005-0000-0000-000021030000}"/>
    <cellStyle name="Prozent 3 3" xfId="445" xr:uid="{00000000-0005-0000-0000-000022030000}"/>
    <cellStyle name="Prozent 3 3 2" xfId="446" xr:uid="{00000000-0005-0000-0000-000023030000}"/>
    <cellStyle name="Prozent 3 3 2 2" xfId="447" xr:uid="{00000000-0005-0000-0000-000024030000}"/>
    <cellStyle name="Prozent 3 3 2 2 2" xfId="914" xr:uid="{00000000-0005-0000-0000-000025030000}"/>
    <cellStyle name="Prozent 3 3 2 2 3" xfId="915" xr:uid="{00000000-0005-0000-0000-000026030000}"/>
    <cellStyle name="Prozent 3 3 2 2 4" xfId="916" xr:uid="{00000000-0005-0000-0000-000027030000}"/>
    <cellStyle name="Prozent 3 3 2 3" xfId="917" xr:uid="{00000000-0005-0000-0000-000028030000}"/>
    <cellStyle name="Prozent 3 3 2 4" xfId="918" xr:uid="{00000000-0005-0000-0000-000029030000}"/>
    <cellStyle name="Prozent 3 3 2 5" xfId="919" xr:uid="{00000000-0005-0000-0000-00002A030000}"/>
    <cellStyle name="Prozent 3 3 3" xfId="448" xr:uid="{00000000-0005-0000-0000-00002B030000}"/>
    <cellStyle name="Prozent 3 3 3 2" xfId="920" xr:uid="{00000000-0005-0000-0000-00002C030000}"/>
    <cellStyle name="Prozent 3 3 3 3" xfId="921" xr:uid="{00000000-0005-0000-0000-00002D030000}"/>
    <cellStyle name="Prozent 3 3 3 4" xfId="922" xr:uid="{00000000-0005-0000-0000-00002E030000}"/>
    <cellStyle name="Prozent 3 3 4" xfId="923" xr:uid="{00000000-0005-0000-0000-00002F030000}"/>
    <cellStyle name="Prozent 3 3 5" xfId="924" xr:uid="{00000000-0005-0000-0000-000030030000}"/>
    <cellStyle name="Prozent 3 3 6" xfId="925" xr:uid="{00000000-0005-0000-0000-000031030000}"/>
    <cellStyle name="Prozent 3 4" xfId="449" xr:uid="{00000000-0005-0000-0000-000032030000}"/>
    <cellStyle name="Prozent 3 4 2" xfId="450" xr:uid="{00000000-0005-0000-0000-000033030000}"/>
    <cellStyle name="Prozent 3 4 2 2" xfId="926" xr:uid="{00000000-0005-0000-0000-000034030000}"/>
    <cellStyle name="Prozent 3 4 2 3" xfId="927" xr:uid="{00000000-0005-0000-0000-000035030000}"/>
    <cellStyle name="Prozent 3 4 2 4" xfId="928" xr:uid="{00000000-0005-0000-0000-000036030000}"/>
    <cellStyle name="Prozent 3 4 3" xfId="929" xr:uid="{00000000-0005-0000-0000-000037030000}"/>
    <cellStyle name="Prozent 3 4 4" xfId="930" xr:uid="{00000000-0005-0000-0000-000038030000}"/>
    <cellStyle name="Prozent 3 4 5" xfId="931" xr:uid="{00000000-0005-0000-0000-000039030000}"/>
    <cellStyle name="Prozent 3 5" xfId="451" xr:uid="{00000000-0005-0000-0000-00003A030000}"/>
    <cellStyle name="Prozent 3 5 2" xfId="932" xr:uid="{00000000-0005-0000-0000-00003B030000}"/>
    <cellStyle name="Prozent 3 5 3" xfId="933" xr:uid="{00000000-0005-0000-0000-00003C030000}"/>
    <cellStyle name="Prozent 3 5 4" xfId="934" xr:uid="{00000000-0005-0000-0000-00003D030000}"/>
    <cellStyle name="Prozent 3 6" xfId="935" xr:uid="{00000000-0005-0000-0000-00003E030000}"/>
    <cellStyle name="Prozent 3 7" xfId="936" xr:uid="{00000000-0005-0000-0000-00003F030000}"/>
    <cellStyle name="Prozent 3 8" xfId="937" xr:uid="{00000000-0005-0000-0000-000040030000}"/>
    <cellStyle name="Prozent 4" xfId="452" xr:uid="{00000000-0005-0000-0000-000041030000}"/>
    <cellStyle name="Prozent 4 2" xfId="453" xr:uid="{00000000-0005-0000-0000-000042030000}"/>
    <cellStyle name="Prozent 4 2 2" xfId="454" xr:uid="{00000000-0005-0000-0000-000043030000}"/>
    <cellStyle name="Prozent 4 2 2 2" xfId="455" xr:uid="{00000000-0005-0000-0000-000044030000}"/>
    <cellStyle name="Prozent 4 2 2 2 2" xfId="456" xr:uid="{00000000-0005-0000-0000-000045030000}"/>
    <cellStyle name="Prozent 4 2 2 2 2 2" xfId="938" xr:uid="{00000000-0005-0000-0000-000046030000}"/>
    <cellStyle name="Prozent 4 2 2 2 2 3" xfId="939" xr:uid="{00000000-0005-0000-0000-000047030000}"/>
    <cellStyle name="Prozent 4 2 2 2 2 4" xfId="940" xr:uid="{00000000-0005-0000-0000-000048030000}"/>
    <cellStyle name="Prozent 4 2 2 2 3" xfId="941" xr:uid="{00000000-0005-0000-0000-000049030000}"/>
    <cellStyle name="Prozent 4 2 2 2 4" xfId="942" xr:uid="{00000000-0005-0000-0000-00004A030000}"/>
    <cellStyle name="Prozent 4 2 2 2 5" xfId="943" xr:uid="{00000000-0005-0000-0000-00004B030000}"/>
    <cellStyle name="Prozent 4 2 2 3" xfId="457" xr:uid="{00000000-0005-0000-0000-00004C030000}"/>
    <cellStyle name="Prozent 4 2 2 3 2" xfId="944" xr:uid="{00000000-0005-0000-0000-00004D030000}"/>
    <cellStyle name="Prozent 4 2 2 3 3" xfId="945" xr:uid="{00000000-0005-0000-0000-00004E030000}"/>
    <cellStyle name="Prozent 4 2 2 3 4" xfId="946" xr:uid="{00000000-0005-0000-0000-00004F030000}"/>
    <cellStyle name="Prozent 4 2 2 4" xfId="947" xr:uid="{00000000-0005-0000-0000-000050030000}"/>
    <cellStyle name="Prozent 4 2 2 5" xfId="948" xr:uid="{00000000-0005-0000-0000-000051030000}"/>
    <cellStyle name="Prozent 4 2 2 6" xfId="949" xr:uid="{00000000-0005-0000-0000-000052030000}"/>
    <cellStyle name="Prozent 4 2 3" xfId="458" xr:uid="{00000000-0005-0000-0000-000053030000}"/>
    <cellStyle name="Prozent 4 2 3 2" xfId="459" xr:uid="{00000000-0005-0000-0000-000054030000}"/>
    <cellStyle name="Prozent 4 2 3 2 2" xfId="950" xr:uid="{00000000-0005-0000-0000-000055030000}"/>
    <cellStyle name="Prozent 4 2 3 2 3" xfId="951" xr:uid="{00000000-0005-0000-0000-000056030000}"/>
    <cellStyle name="Prozent 4 2 3 2 4" xfId="952" xr:uid="{00000000-0005-0000-0000-000057030000}"/>
    <cellStyle name="Prozent 4 2 3 3" xfId="953" xr:uid="{00000000-0005-0000-0000-000058030000}"/>
    <cellStyle name="Prozent 4 2 3 4" xfId="954" xr:uid="{00000000-0005-0000-0000-000059030000}"/>
    <cellStyle name="Prozent 4 2 3 5" xfId="955" xr:uid="{00000000-0005-0000-0000-00005A030000}"/>
    <cellStyle name="Prozent 4 2 4" xfId="460" xr:uid="{00000000-0005-0000-0000-00005B030000}"/>
    <cellStyle name="Prozent 4 2 4 2" xfId="956" xr:uid="{00000000-0005-0000-0000-00005C030000}"/>
    <cellStyle name="Prozent 4 2 4 3" xfId="957" xr:uid="{00000000-0005-0000-0000-00005D030000}"/>
    <cellStyle name="Prozent 4 2 4 4" xfId="958" xr:uid="{00000000-0005-0000-0000-00005E030000}"/>
    <cellStyle name="Prozent 4 2 5" xfId="959" xr:uid="{00000000-0005-0000-0000-00005F030000}"/>
    <cellStyle name="Prozent 4 2 6" xfId="960" xr:uid="{00000000-0005-0000-0000-000060030000}"/>
    <cellStyle name="Prozent 4 2 7" xfId="961" xr:uid="{00000000-0005-0000-0000-000061030000}"/>
    <cellStyle name="Prozent 4 3" xfId="461" xr:uid="{00000000-0005-0000-0000-000062030000}"/>
    <cellStyle name="Prozent 4 3 2" xfId="462" xr:uid="{00000000-0005-0000-0000-000063030000}"/>
    <cellStyle name="Prozent 4 3 2 2" xfId="463" xr:uid="{00000000-0005-0000-0000-000064030000}"/>
    <cellStyle name="Prozent 4 3 2 2 2" xfId="962" xr:uid="{00000000-0005-0000-0000-000065030000}"/>
    <cellStyle name="Prozent 4 3 2 2 3" xfId="963" xr:uid="{00000000-0005-0000-0000-000066030000}"/>
    <cellStyle name="Prozent 4 3 2 2 4" xfId="964" xr:uid="{00000000-0005-0000-0000-000067030000}"/>
    <cellStyle name="Prozent 4 3 2 3" xfId="965" xr:uid="{00000000-0005-0000-0000-000068030000}"/>
    <cellStyle name="Prozent 4 3 2 4" xfId="966" xr:uid="{00000000-0005-0000-0000-000069030000}"/>
    <cellStyle name="Prozent 4 3 2 5" xfId="967" xr:uid="{00000000-0005-0000-0000-00006A030000}"/>
    <cellStyle name="Prozent 4 3 3" xfId="464" xr:uid="{00000000-0005-0000-0000-00006B030000}"/>
    <cellStyle name="Prozent 4 3 3 2" xfId="465" xr:uid="{00000000-0005-0000-0000-00006C030000}"/>
    <cellStyle name="Prozent 4 3 3 2 2" xfId="968" xr:uid="{00000000-0005-0000-0000-00006D030000}"/>
    <cellStyle name="Prozent 4 3 3 2 3" xfId="969" xr:uid="{00000000-0005-0000-0000-00006E030000}"/>
    <cellStyle name="Prozent 4 3 3 2 4" xfId="970" xr:uid="{00000000-0005-0000-0000-00006F030000}"/>
    <cellStyle name="Prozent 4 3 3 3" xfId="971" xr:uid="{00000000-0005-0000-0000-000070030000}"/>
    <cellStyle name="Prozent 4 3 3 4" xfId="972" xr:uid="{00000000-0005-0000-0000-000071030000}"/>
    <cellStyle name="Prozent 4 3 3 5" xfId="973" xr:uid="{00000000-0005-0000-0000-000072030000}"/>
    <cellStyle name="Prozent 4 3 4" xfId="466" xr:uid="{00000000-0005-0000-0000-000073030000}"/>
    <cellStyle name="Prozent 4 3 4 2" xfId="467" xr:uid="{00000000-0005-0000-0000-000074030000}"/>
    <cellStyle name="Prozent 4 3 4 3" xfId="468" xr:uid="{00000000-0005-0000-0000-000075030000}"/>
    <cellStyle name="Prozent 4 3 4 4" xfId="469" xr:uid="{00000000-0005-0000-0000-000076030000}"/>
    <cellStyle name="Prozent 4 3 4 4 2" xfId="1127" xr:uid="{00000000-0005-0000-0000-000077030000}"/>
    <cellStyle name="Prozent 4 3 4 4 3" xfId="974" xr:uid="{00000000-0005-0000-0000-000078030000}"/>
    <cellStyle name="Prozent 4 3 5" xfId="975" xr:uid="{00000000-0005-0000-0000-000079030000}"/>
    <cellStyle name="Prozent 4 4" xfId="470" xr:uid="{00000000-0005-0000-0000-00007A030000}"/>
    <cellStyle name="Prozent 4 4 2" xfId="471" xr:uid="{00000000-0005-0000-0000-00007B030000}"/>
    <cellStyle name="Prozent 4 4 2 2" xfId="976" xr:uid="{00000000-0005-0000-0000-00007C030000}"/>
    <cellStyle name="Prozent 4 4 2 3" xfId="977" xr:uid="{00000000-0005-0000-0000-00007D030000}"/>
    <cellStyle name="Prozent 4 4 2 4" xfId="978" xr:uid="{00000000-0005-0000-0000-00007E030000}"/>
    <cellStyle name="Prozent 4 4 3" xfId="979" xr:uid="{00000000-0005-0000-0000-00007F030000}"/>
    <cellStyle name="Prozent 4 4 4" xfId="980" xr:uid="{00000000-0005-0000-0000-000080030000}"/>
    <cellStyle name="Prozent 4 4 5" xfId="981" xr:uid="{00000000-0005-0000-0000-000081030000}"/>
    <cellStyle name="Prozent 4 5" xfId="472" xr:uid="{00000000-0005-0000-0000-000082030000}"/>
    <cellStyle name="Prozent 4 5 2" xfId="982" xr:uid="{00000000-0005-0000-0000-000083030000}"/>
    <cellStyle name="Prozent 4 5 3" xfId="983" xr:uid="{00000000-0005-0000-0000-000084030000}"/>
    <cellStyle name="Prozent 4 5 4" xfId="984" xr:uid="{00000000-0005-0000-0000-000085030000}"/>
    <cellStyle name="Prozent 4 6" xfId="985" xr:uid="{00000000-0005-0000-0000-000086030000}"/>
    <cellStyle name="Prozent 4 7" xfId="986" xr:uid="{00000000-0005-0000-0000-000087030000}"/>
    <cellStyle name="Prozent 4 8" xfId="987" xr:uid="{00000000-0005-0000-0000-000088030000}"/>
    <cellStyle name="Prozent 5" xfId="473" xr:uid="{00000000-0005-0000-0000-000089030000}"/>
    <cellStyle name="Prozent 5 2" xfId="474" xr:uid="{00000000-0005-0000-0000-00008A030000}"/>
    <cellStyle name="Prozent 5 2 2" xfId="475" xr:uid="{00000000-0005-0000-0000-00008B030000}"/>
    <cellStyle name="Prozent 5 2 2 2" xfId="476" xr:uid="{00000000-0005-0000-0000-00008C030000}"/>
    <cellStyle name="Prozent 5 2 2 2 2" xfId="988" xr:uid="{00000000-0005-0000-0000-00008D030000}"/>
    <cellStyle name="Prozent 5 2 2 2 3" xfId="989" xr:uid="{00000000-0005-0000-0000-00008E030000}"/>
    <cellStyle name="Prozent 5 2 2 2 4" xfId="990" xr:uid="{00000000-0005-0000-0000-00008F030000}"/>
    <cellStyle name="Prozent 5 2 2 3" xfId="991" xr:uid="{00000000-0005-0000-0000-000090030000}"/>
    <cellStyle name="Prozent 5 2 2 4" xfId="992" xr:uid="{00000000-0005-0000-0000-000091030000}"/>
    <cellStyle name="Prozent 5 2 2 5" xfId="993" xr:uid="{00000000-0005-0000-0000-000092030000}"/>
    <cellStyle name="Prozent 5 2 3" xfId="477" xr:uid="{00000000-0005-0000-0000-000093030000}"/>
    <cellStyle name="Prozent 5 2 3 2" xfId="994" xr:uid="{00000000-0005-0000-0000-000094030000}"/>
    <cellStyle name="Prozent 5 2 3 3" xfId="995" xr:uid="{00000000-0005-0000-0000-000095030000}"/>
    <cellStyle name="Prozent 5 2 3 4" xfId="996" xr:uid="{00000000-0005-0000-0000-000096030000}"/>
    <cellStyle name="Prozent 5 2 4" xfId="997" xr:uid="{00000000-0005-0000-0000-000097030000}"/>
    <cellStyle name="Prozent 5 2 5" xfId="998" xr:uid="{00000000-0005-0000-0000-000098030000}"/>
    <cellStyle name="Prozent 5 2 6" xfId="999" xr:uid="{00000000-0005-0000-0000-000099030000}"/>
    <cellStyle name="Prozent 5 3" xfId="478" xr:uid="{00000000-0005-0000-0000-00009A030000}"/>
    <cellStyle name="Prozent 5 3 2" xfId="479" xr:uid="{00000000-0005-0000-0000-00009B030000}"/>
    <cellStyle name="Prozent 5 3 2 2" xfId="1000" xr:uid="{00000000-0005-0000-0000-00009C030000}"/>
    <cellStyle name="Prozent 5 3 2 3" xfId="1001" xr:uid="{00000000-0005-0000-0000-00009D030000}"/>
    <cellStyle name="Prozent 5 3 2 4" xfId="1002" xr:uid="{00000000-0005-0000-0000-00009E030000}"/>
    <cellStyle name="Prozent 5 3 3" xfId="1003" xr:uid="{00000000-0005-0000-0000-00009F030000}"/>
    <cellStyle name="Prozent 5 3 4" xfId="1004" xr:uid="{00000000-0005-0000-0000-0000A0030000}"/>
    <cellStyle name="Prozent 5 3 5" xfId="1005" xr:uid="{00000000-0005-0000-0000-0000A1030000}"/>
    <cellStyle name="Prozent 5 4" xfId="480" xr:uid="{00000000-0005-0000-0000-0000A2030000}"/>
    <cellStyle name="Prozent 5 4 2" xfId="481" xr:uid="{00000000-0005-0000-0000-0000A3030000}"/>
    <cellStyle name="Prozent 5 4 3" xfId="482" xr:uid="{00000000-0005-0000-0000-0000A4030000}"/>
    <cellStyle name="Prozent 5 4 3 2" xfId="483" xr:uid="{00000000-0005-0000-0000-0000A5030000}"/>
    <cellStyle name="Prozent 5 4 3 3" xfId="484" xr:uid="{00000000-0005-0000-0000-0000A6030000}"/>
    <cellStyle name="Prozent 5 4 3 4" xfId="1006" xr:uid="{00000000-0005-0000-0000-0000A7030000}"/>
    <cellStyle name="Prozent 5 4 4" xfId="485" xr:uid="{00000000-0005-0000-0000-0000A8030000}"/>
    <cellStyle name="Prozent 5 4 4 2" xfId="1007" xr:uid="{00000000-0005-0000-0000-0000A9030000}"/>
    <cellStyle name="Prozent 5 4 5" xfId="1008" xr:uid="{00000000-0005-0000-0000-0000AA030000}"/>
    <cellStyle name="Prozent 5 5" xfId="486" xr:uid="{00000000-0005-0000-0000-0000AB030000}"/>
    <cellStyle name="Prozent 5 5 2" xfId="487" xr:uid="{00000000-0005-0000-0000-0000AC030000}"/>
    <cellStyle name="Prozent 5 5 3" xfId="488" xr:uid="{00000000-0005-0000-0000-0000AD030000}"/>
    <cellStyle name="Prozent 5 5 4" xfId="489" xr:uid="{00000000-0005-0000-0000-0000AE030000}"/>
    <cellStyle name="Prozent 5 5 4 2" xfId="1128" xr:uid="{00000000-0005-0000-0000-0000AF030000}"/>
    <cellStyle name="Prozent 5 5 4 3" xfId="1009" xr:uid="{00000000-0005-0000-0000-0000B0030000}"/>
    <cellStyle name="Prozent 5 6" xfId="1010" xr:uid="{00000000-0005-0000-0000-0000B1030000}"/>
    <cellStyle name="Prozent 6" xfId="490" xr:uid="{00000000-0005-0000-0000-0000B2030000}"/>
    <cellStyle name="Prozent 6 2" xfId="491" xr:uid="{00000000-0005-0000-0000-0000B3030000}"/>
    <cellStyle name="Prozent 6 2 2" xfId="492" xr:uid="{00000000-0005-0000-0000-0000B4030000}"/>
    <cellStyle name="Prozent 6 2 2 2" xfId="1011" xr:uid="{00000000-0005-0000-0000-0000B5030000}"/>
    <cellStyle name="Prozent 6 2 2 3" xfId="1012" xr:uid="{00000000-0005-0000-0000-0000B6030000}"/>
    <cellStyle name="Prozent 6 2 2 4" xfId="1013" xr:uid="{00000000-0005-0000-0000-0000B7030000}"/>
    <cellStyle name="Prozent 6 2 3" xfId="1014" xr:uid="{00000000-0005-0000-0000-0000B8030000}"/>
    <cellStyle name="Prozent 6 2 4" xfId="1015" xr:uid="{00000000-0005-0000-0000-0000B9030000}"/>
    <cellStyle name="Prozent 6 2 5" xfId="1016" xr:uid="{00000000-0005-0000-0000-0000BA030000}"/>
    <cellStyle name="Prozent 6 3" xfId="493" xr:uid="{00000000-0005-0000-0000-0000BB030000}"/>
    <cellStyle name="Prozent 6 3 2" xfId="1017" xr:uid="{00000000-0005-0000-0000-0000BC030000}"/>
    <cellStyle name="Prozent 6 3 3" xfId="1018" xr:uid="{00000000-0005-0000-0000-0000BD030000}"/>
    <cellStyle name="Prozent 6 3 4" xfId="1019" xr:uid="{00000000-0005-0000-0000-0000BE030000}"/>
    <cellStyle name="Prozent 6 4" xfId="1020" xr:uid="{00000000-0005-0000-0000-0000BF030000}"/>
    <cellStyle name="Prozent 6 5" xfId="1021" xr:uid="{00000000-0005-0000-0000-0000C0030000}"/>
    <cellStyle name="Prozent 6 6" xfId="1022" xr:uid="{00000000-0005-0000-0000-0000C1030000}"/>
    <cellStyle name="Prozent 7" xfId="494" xr:uid="{00000000-0005-0000-0000-0000C2030000}"/>
    <cellStyle name="Prozent 7 2" xfId="495" xr:uid="{00000000-0005-0000-0000-0000C3030000}"/>
    <cellStyle name="Prozent 7 2 2" xfId="496" xr:uid="{00000000-0005-0000-0000-0000C4030000}"/>
    <cellStyle name="Prozent 7 2 2 2" xfId="1023" xr:uid="{00000000-0005-0000-0000-0000C5030000}"/>
    <cellStyle name="Prozent 7 2 2 3" xfId="1024" xr:uid="{00000000-0005-0000-0000-0000C6030000}"/>
    <cellStyle name="Prozent 7 2 2 4" xfId="1025" xr:uid="{00000000-0005-0000-0000-0000C7030000}"/>
    <cellStyle name="Prozent 7 2 3" xfId="1026" xr:uid="{00000000-0005-0000-0000-0000C8030000}"/>
    <cellStyle name="Prozent 7 2 4" xfId="1027" xr:uid="{00000000-0005-0000-0000-0000C9030000}"/>
    <cellStyle name="Prozent 7 2 5" xfId="1028" xr:uid="{00000000-0005-0000-0000-0000CA030000}"/>
    <cellStyle name="Prozent 7 3" xfId="497" xr:uid="{00000000-0005-0000-0000-0000CB030000}"/>
    <cellStyle name="Prozent 7 3 2" xfId="1029" xr:uid="{00000000-0005-0000-0000-0000CC030000}"/>
    <cellStyle name="Prozent 7 3 3" xfId="1030" xr:uid="{00000000-0005-0000-0000-0000CD030000}"/>
    <cellStyle name="Prozent 7 3 4" xfId="1031" xr:uid="{00000000-0005-0000-0000-0000CE030000}"/>
    <cellStyle name="Prozent 7 4" xfId="1032" xr:uid="{00000000-0005-0000-0000-0000CF030000}"/>
    <cellStyle name="Prozent 7 5" xfId="1033" xr:uid="{00000000-0005-0000-0000-0000D0030000}"/>
    <cellStyle name="Prozent 7 6" xfId="1034" xr:uid="{00000000-0005-0000-0000-0000D1030000}"/>
    <cellStyle name="Prozent 8" xfId="498" xr:uid="{00000000-0005-0000-0000-0000D2030000}"/>
    <cellStyle name="Prozent 8 2" xfId="499" xr:uid="{00000000-0005-0000-0000-0000D3030000}"/>
    <cellStyle name="Prozent 8 2 2" xfId="500" xr:uid="{00000000-0005-0000-0000-0000D4030000}"/>
    <cellStyle name="Prozent 8 2 3" xfId="501" xr:uid="{00000000-0005-0000-0000-0000D5030000}"/>
    <cellStyle name="Prozent 8 2 4" xfId="1035" xr:uid="{00000000-0005-0000-0000-0000D6030000}"/>
    <cellStyle name="Prozent 8 3" xfId="502" xr:uid="{00000000-0005-0000-0000-0000D7030000}"/>
    <cellStyle name="Prozent 8 3 2" xfId="503" xr:uid="{00000000-0005-0000-0000-0000D8030000}"/>
    <cellStyle name="Prozent 8 3 2 2" xfId="504" xr:uid="{00000000-0005-0000-0000-0000D9030000}"/>
    <cellStyle name="Prozent 8 3 2 2 2" xfId="1037" xr:uid="{00000000-0005-0000-0000-0000DA030000}"/>
    <cellStyle name="Prozent 8 3 2 2 3" xfId="1036" xr:uid="{00000000-0005-0000-0000-0000DB030000}"/>
    <cellStyle name="Prozent 8 3 2 3" xfId="505" xr:uid="{00000000-0005-0000-0000-0000DC030000}"/>
    <cellStyle name="Prozent 8 3 2 3 2" xfId="1129" xr:uid="{00000000-0005-0000-0000-0000DD030000}"/>
    <cellStyle name="Prozent 8 3 2 3 3" xfId="1038" xr:uid="{00000000-0005-0000-0000-0000DE030000}"/>
    <cellStyle name="Prozent 8 3 2 4" xfId="1039" xr:uid="{00000000-0005-0000-0000-0000DF030000}"/>
    <cellStyle name="Prozent 8 3 2 5" xfId="1040" xr:uid="{00000000-0005-0000-0000-0000E0030000}"/>
    <cellStyle name="Prozent 8 3 3" xfId="506" xr:uid="{00000000-0005-0000-0000-0000E1030000}"/>
    <cellStyle name="Prozent 8 3 3 2" xfId="507" xr:uid="{00000000-0005-0000-0000-0000E2030000}"/>
    <cellStyle name="Prozent 8 3 3 3" xfId="508" xr:uid="{00000000-0005-0000-0000-0000E3030000}"/>
    <cellStyle name="Prozent 8 3 4" xfId="1041" xr:uid="{00000000-0005-0000-0000-0000E4030000}"/>
    <cellStyle name="Prozent 8 3 5" xfId="1042" xr:uid="{00000000-0005-0000-0000-0000E5030000}"/>
    <cellStyle name="Prozent 8 3 6" xfId="1043" xr:uid="{00000000-0005-0000-0000-0000E6030000}"/>
    <cellStyle name="Prozent 9" xfId="509" xr:uid="{00000000-0005-0000-0000-0000E7030000}"/>
    <cellStyle name="Prozent 9 2" xfId="1044" xr:uid="{00000000-0005-0000-0000-0000E8030000}"/>
    <cellStyle name="Prozent 9 3" xfId="1045" xr:uid="{00000000-0005-0000-0000-0000E9030000}"/>
    <cellStyle name="Prozent 9 4" xfId="1046" xr:uid="{00000000-0005-0000-0000-0000EA030000}"/>
    <cellStyle name="Schlecht 2" xfId="511" xr:uid="{00000000-0005-0000-0000-0000EB030000}"/>
    <cellStyle name="Schlecht 3" xfId="512" xr:uid="{00000000-0005-0000-0000-0000EC030000}"/>
    <cellStyle name="Standard 2" xfId="513" xr:uid="{00000000-0005-0000-0000-0000EE030000}"/>
    <cellStyle name="Standard 2 2" xfId="514" xr:uid="{00000000-0005-0000-0000-0000EF030000}"/>
    <cellStyle name="Standard 2 2 2" xfId="515" xr:uid="{00000000-0005-0000-0000-0000F0030000}"/>
    <cellStyle name="Standard 2 2 3" xfId="516" xr:uid="{00000000-0005-0000-0000-0000F1030000}"/>
    <cellStyle name="Standard 2 3" xfId="517" xr:uid="{00000000-0005-0000-0000-0000F2030000}"/>
    <cellStyle name="Standard 2 4" xfId="518" xr:uid="{00000000-0005-0000-0000-0000F3030000}"/>
    <cellStyle name="Standard 2 5" xfId="519" xr:uid="{00000000-0005-0000-0000-0000F4030000}"/>
    <cellStyle name="Standard 2 6" xfId="520" xr:uid="{00000000-0005-0000-0000-0000F5030000}"/>
    <cellStyle name="Standard 3" xfId="521" xr:uid="{00000000-0005-0000-0000-0000F6030000}"/>
    <cellStyle name="Standard 3 2" xfId="522" xr:uid="{00000000-0005-0000-0000-0000F7030000}"/>
    <cellStyle name="Standard 3 2 2" xfId="523" xr:uid="{00000000-0005-0000-0000-0000F8030000}"/>
    <cellStyle name="Standard 3 2 2 2" xfId="524" xr:uid="{00000000-0005-0000-0000-0000F9030000}"/>
    <cellStyle name="Standard 3 2 2 2 2" xfId="525" xr:uid="{00000000-0005-0000-0000-0000FA030000}"/>
    <cellStyle name="Standard 3 2 2 2 2 2" xfId="1048" xr:uid="{00000000-0005-0000-0000-0000FB030000}"/>
    <cellStyle name="Standard 3 2 2 2 2 3" xfId="1049" xr:uid="{00000000-0005-0000-0000-0000FC030000}"/>
    <cellStyle name="Standard 3 2 2 2 2 4" xfId="1050" xr:uid="{00000000-0005-0000-0000-0000FD030000}"/>
    <cellStyle name="Standard 3 2 2 2 3" xfId="1051" xr:uid="{00000000-0005-0000-0000-0000FE030000}"/>
    <cellStyle name="Standard 3 2 2 2 4" xfId="1052" xr:uid="{00000000-0005-0000-0000-0000FF030000}"/>
    <cellStyle name="Standard 3 2 2 2 5" xfId="1053" xr:uid="{00000000-0005-0000-0000-000000040000}"/>
    <cellStyle name="Standard 3 2 2 3" xfId="526" xr:uid="{00000000-0005-0000-0000-000001040000}"/>
    <cellStyle name="Standard 3 2 2 3 2" xfId="1054" xr:uid="{00000000-0005-0000-0000-000002040000}"/>
    <cellStyle name="Standard 3 2 2 3 3" xfId="1055" xr:uid="{00000000-0005-0000-0000-000003040000}"/>
    <cellStyle name="Standard 3 2 2 3 4" xfId="1056" xr:uid="{00000000-0005-0000-0000-000004040000}"/>
    <cellStyle name="Standard 3 2 2 4" xfId="1057" xr:uid="{00000000-0005-0000-0000-000005040000}"/>
    <cellStyle name="Standard 3 2 2 5" xfId="1058" xr:uid="{00000000-0005-0000-0000-000006040000}"/>
    <cellStyle name="Standard 3 2 2 6" xfId="1059" xr:uid="{00000000-0005-0000-0000-000007040000}"/>
    <cellStyle name="Standard 3 2 3" xfId="527" xr:uid="{00000000-0005-0000-0000-000008040000}"/>
    <cellStyle name="Standard 3 2 3 2" xfId="528" xr:uid="{00000000-0005-0000-0000-000009040000}"/>
    <cellStyle name="Standard 3 2 3 2 2" xfId="1060" xr:uid="{00000000-0005-0000-0000-00000A040000}"/>
    <cellStyle name="Standard 3 2 3 2 3" xfId="1061" xr:uid="{00000000-0005-0000-0000-00000B040000}"/>
    <cellStyle name="Standard 3 2 3 2 4" xfId="1062" xr:uid="{00000000-0005-0000-0000-00000C040000}"/>
    <cellStyle name="Standard 3 2 3 3" xfId="1063" xr:uid="{00000000-0005-0000-0000-00000D040000}"/>
    <cellStyle name="Standard 3 2 3 4" xfId="1064" xr:uid="{00000000-0005-0000-0000-00000E040000}"/>
    <cellStyle name="Standard 3 2 3 5" xfId="1065" xr:uid="{00000000-0005-0000-0000-00000F040000}"/>
    <cellStyle name="Standard 3 2 4" xfId="529" xr:uid="{00000000-0005-0000-0000-000010040000}"/>
    <cellStyle name="Standard 3 2 4 2" xfId="530" xr:uid="{00000000-0005-0000-0000-000011040000}"/>
    <cellStyle name="Standard 3 2 4 3" xfId="531" xr:uid="{00000000-0005-0000-0000-000012040000}"/>
    <cellStyle name="Standard 3 2 4 4" xfId="1066" xr:uid="{00000000-0005-0000-0000-000013040000}"/>
    <cellStyle name="Standard 3 2 4 5" xfId="1067" xr:uid="{00000000-0005-0000-0000-000014040000}"/>
    <cellStyle name="Standard 3 2 5" xfId="532" xr:uid="{00000000-0005-0000-0000-000015040000}"/>
    <cellStyle name="Standard 3 2 6" xfId="533" xr:uid="{00000000-0005-0000-0000-000016040000}"/>
    <cellStyle name="Standard 3 3" xfId="534" xr:uid="{00000000-0005-0000-0000-000017040000}"/>
    <cellStyle name="Standard 3 3 2" xfId="535" xr:uid="{00000000-0005-0000-0000-000018040000}"/>
    <cellStyle name="Standard 3 3 2 2" xfId="536" xr:uid="{00000000-0005-0000-0000-000019040000}"/>
    <cellStyle name="Standard 3 3 2 2 2" xfId="1068" xr:uid="{00000000-0005-0000-0000-00001A040000}"/>
    <cellStyle name="Standard 3 3 2 2 3" xfId="1069" xr:uid="{00000000-0005-0000-0000-00001B040000}"/>
    <cellStyle name="Standard 3 3 2 2 4" xfId="1070" xr:uid="{00000000-0005-0000-0000-00001C040000}"/>
    <cellStyle name="Standard 3 3 2 3" xfId="1071" xr:uid="{00000000-0005-0000-0000-00001D040000}"/>
    <cellStyle name="Standard 3 3 2 4" xfId="1072" xr:uid="{00000000-0005-0000-0000-00001E040000}"/>
    <cellStyle name="Standard 3 3 2 5" xfId="1073" xr:uid="{00000000-0005-0000-0000-00001F040000}"/>
    <cellStyle name="Standard 3 3 3" xfId="537" xr:uid="{00000000-0005-0000-0000-000020040000}"/>
    <cellStyle name="Standard 3 3 3 2" xfId="1074" xr:uid="{00000000-0005-0000-0000-000021040000}"/>
    <cellStyle name="Standard 3 3 3 3" xfId="1075" xr:uid="{00000000-0005-0000-0000-000022040000}"/>
    <cellStyle name="Standard 3 3 3 4" xfId="1076" xr:uid="{00000000-0005-0000-0000-000023040000}"/>
    <cellStyle name="Standard 3 3 4" xfId="1077" xr:uid="{00000000-0005-0000-0000-000024040000}"/>
    <cellStyle name="Standard 3 3 5" xfId="1078" xr:uid="{00000000-0005-0000-0000-000025040000}"/>
    <cellStyle name="Standard 3 3 6" xfId="1079" xr:uid="{00000000-0005-0000-0000-000026040000}"/>
    <cellStyle name="Standard 3 4" xfId="538" xr:uid="{00000000-0005-0000-0000-000027040000}"/>
    <cellStyle name="Standard 3 4 2" xfId="539" xr:uid="{00000000-0005-0000-0000-000028040000}"/>
    <cellStyle name="Standard 3 4 2 2" xfId="1080" xr:uid="{00000000-0005-0000-0000-000029040000}"/>
    <cellStyle name="Standard 3 4 2 3" xfId="1081" xr:uid="{00000000-0005-0000-0000-00002A040000}"/>
    <cellStyle name="Standard 3 4 2 4" xfId="1082" xr:uid="{00000000-0005-0000-0000-00002B040000}"/>
    <cellStyle name="Standard 3 4 3" xfId="1083" xr:uid="{00000000-0005-0000-0000-00002C040000}"/>
    <cellStyle name="Standard 3 4 4" xfId="1084" xr:uid="{00000000-0005-0000-0000-00002D040000}"/>
    <cellStyle name="Standard 3 4 5" xfId="1085" xr:uid="{00000000-0005-0000-0000-00002E040000}"/>
    <cellStyle name="Standard 3 5" xfId="540" xr:uid="{00000000-0005-0000-0000-00002F040000}"/>
    <cellStyle name="Standard 3 5 2" xfId="1086" xr:uid="{00000000-0005-0000-0000-000030040000}"/>
    <cellStyle name="Standard 3 5 3" xfId="1087" xr:uid="{00000000-0005-0000-0000-000031040000}"/>
    <cellStyle name="Standard 3 5 4" xfId="1088" xr:uid="{00000000-0005-0000-0000-000032040000}"/>
    <cellStyle name="Standard 3 6" xfId="541" xr:uid="{00000000-0005-0000-0000-000033040000}"/>
    <cellStyle name="Standard 3 6 2" xfId="1090" xr:uid="{00000000-0005-0000-0000-000034040000}"/>
    <cellStyle name="Standard 3 6 3" xfId="1089" xr:uid="{00000000-0005-0000-0000-000035040000}"/>
    <cellStyle name="Standard 3 7" xfId="1091" xr:uid="{00000000-0005-0000-0000-000036040000}"/>
    <cellStyle name="Standard 3 8" xfId="1092" xr:uid="{00000000-0005-0000-0000-000037040000}"/>
    <cellStyle name="Standard 4" xfId="542" xr:uid="{00000000-0005-0000-0000-000038040000}"/>
    <cellStyle name="Standard 5" xfId="543" xr:uid="{00000000-0005-0000-0000-000039040000}"/>
    <cellStyle name="Standard 5 2" xfId="544" xr:uid="{00000000-0005-0000-0000-00003A040000}"/>
    <cellStyle name="Standard 6" xfId="545" xr:uid="{00000000-0005-0000-0000-00003B040000}"/>
    <cellStyle name="Standard 7" xfId="546" xr:uid="{00000000-0005-0000-0000-00003C040000}"/>
    <cellStyle name="Standard_Bearbeitungsqualität 2011" xfId="547" xr:uid="{00000000-0005-0000-0000-00003D040000}"/>
    <cellStyle name="Standard_Werte" xfId="548" xr:uid="{00000000-0005-0000-0000-00003E040000}"/>
    <cellStyle name="Title" xfId="549" xr:uid="{00000000-0005-0000-0000-00003F040000}"/>
    <cellStyle name="Title 2" xfId="550" xr:uid="{00000000-0005-0000-0000-000040040000}"/>
    <cellStyle name="Title 2 2" xfId="551" xr:uid="{00000000-0005-0000-0000-000041040000}"/>
    <cellStyle name="Title 2 2 2" xfId="1130" xr:uid="{00000000-0005-0000-0000-000042040000}"/>
    <cellStyle name="Title 2 2 3" xfId="1093" xr:uid="{00000000-0005-0000-0000-000043040000}"/>
    <cellStyle name="Title 2 3" xfId="552" xr:uid="{00000000-0005-0000-0000-000044040000}"/>
    <cellStyle name="Title 3" xfId="553" xr:uid="{00000000-0005-0000-0000-000045040000}"/>
    <cellStyle name="Title 3 2" xfId="1131" xr:uid="{00000000-0005-0000-0000-000046040000}"/>
    <cellStyle name="Title 3 3" xfId="1094" xr:uid="{00000000-0005-0000-0000-000047040000}"/>
    <cellStyle name="Title 4" xfId="554" xr:uid="{00000000-0005-0000-0000-000048040000}"/>
    <cellStyle name="Title 5" xfId="1095" xr:uid="{00000000-0005-0000-0000-000049040000}"/>
    <cellStyle name="Total 2" xfId="555" xr:uid="{00000000-0005-0000-0000-00004A040000}"/>
    <cellStyle name="Überschrift 1 2" xfId="556" xr:uid="{00000000-0005-0000-0000-00004B040000}"/>
    <cellStyle name="Überschrift 1 3" xfId="557" xr:uid="{00000000-0005-0000-0000-00004C040000}"/>
    <cellStyle name="Überschrift 1 4" xfId="1097" xr:uid="{00000000-0005-0000-0000-00004D040000}"/>
    <cellStyle name="Überschrift 2 2" xfId="558" xr:uid="{00000000-0005-0000-0000-00004E040000}"/>
    <cellStyle name="Überschrift 2 3" xfId="559" xr:uid="{00000000-0005-0000-0000-00004F040000}"/>
    <cellStyle name="Überschrift 2 4" xfId="1099" xr:uid="{00000000-0005-0000-0000-000050040000}"/>
    <cellStyle name="Überschrift 3 2" xfId="560" xr:uid="{00000000-0005-0000-0000-000051040000}"/>
    <cellStyle name="Überschrift 3 3" xfId="561" xr:uid="{00000000-0005-0000-0000-000052040000}"/>
    <cellStyle name="Überschrift 3 4" xfId="1101" xr:uid="{00000000-0005-0000-0000-000053040000}"/>
    <cellStyle name="Überschrift 4 2" xfId="562" xr:uid="{00000000-0005-0000-0000-000054040000}"/>
    <cellStyle name="Überschrift 4 3" xfId="563" xr:uid="{00000000-0005-0000-0000-000055040000}"/>
    <cellStyle name="Überschrift 4 4" xfId="1103" xr:uid="{00000000-0005-0000-0000-000056040000}"/>
    <cellStyle name="Überschrift 5" xfId="564" xr:uid="{00000000-0005-0000-0000-000057040000}"/>
    <cellStyle name="Überschrift 6" xfId="565" xr:uid="{00000000-0005-0000-0000-000058040000}"/>
    <cellStyle name="Überschrift 7" xfId="1104" xr:uid="{00000000-0005-0000-0000-000059040000}"/>
    <cellStyle name="Verknüpfte Zelle 2" xfId="567" xr:uid="{00000000-0005-0000-0000-00005A040000}"/>
    <cellStyle name="Verknüpfte Zelle 3" xfId="568" xr:uid="{00000000-0005-0000-0000-00005B040000}"/>
    <cellStyle name="Warnender Text 2" xfId="569" xr:uid="{00000000-0005-0000-0000-00005C040000}"/>
    <cellStyle name="Warnender Text 2 2" xfId="570" xr:uid="{00000000-0005-0000-0000-00005D040000}"/>
    <cellStyle name="Warnender Text 2 3" xfId="571" xr:uid="{00000000-0005-0000-0000-00005E040000}"/>
    <cellStyle name="Warnender Text 2 3 2" xfId="572" xr:uid="{00000000-0005-0000-0000-00005F040000}"/>
    <cellStyle name="Warnender Text 2 3 2 2" xfId="573" xr:uid="{00000000-0005-0000-0000-000060040000}"/>
    <cellStyle name="Warnender Text 3" xfId="574" xr:uid="{00000000-0005-0000-0000-000061040000}"/>
    <cellStyle name="Warnender Text 4" xfId="575" xr:uid="{00000000-0005-0000-0000-000062040000}"/>
    <cellStyle name="Warnender Text 5" xfId="576" xr:uid="{00000000-0005-0000-0000-000063040000}"/>
    <cellStyle name="Warnender Text 6" xfId="577" xr:uid="{00000000-0005-0000-0000-000064040000}"/>
    <cellStyle name="Zelle überprüfen 2" xfId="579" xr:uid="{00000000-0005-0000-0000-000065040000}"/>
    <cellStyle name="Zelle überprüfen 2 2" xfId="580" xr:uid="{00000000-0005-0000-0000-000066040000}"/>
    <cellStyle name="Zelle überprüfen 2 3" xfId="581" xr:uid="{00000000-0005-0000-0000-000067040000}"/>
    <cellStyle name="Zelle überprüfen 3" xfId="582" xr:uid="{00000000-0005-0000-0000-000068040000}"/>
    <cellStyle name="Zelle überprüfen 3 2" xfId="1108" xr:uid="{00000000-0005-0000-0000-000069040000}"/>
    <cellStyle name="Zelle überprüfen 3 3" xfId="1107" xr:uid="{00000000-0005-0000-0000-00006A040000}"/>
    <cellStyle name="Zelle überprüfen 4" xfId="583" xr:uid="{00000000-0005-0000-0000-00006B040000}"/>
  </cellStyles>
  <dxfs count="207">
    <dxf>
      <fill>
        <patternFill>
          <bgColor theme="0" tint="-0.24994659260841701"/>
        </patternFill>
      </fill>
    </dxf>
    <dxf>
      <fill>
        <patternFill patternType="lightUp">
          <fgColor theme="1"/>
          <bgColor theme="0"/>
        </patternFill>
      </fill>
    </dxf>
    <dxf>
      <fill>
        <patternFill patternType="lightUp">
          <fgColor theme="1"/>
          <bgColor theme="0"/>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rgb="FFBFBFBF"/>
        </patternFill>
      </fill>
    </dxf>
    <dxf>
      <fill>
        <patternFill>
          <bgColor theme="0" tint="-0.24994659260841701"/>
        </patternFill>
      </fill>
    </dxf>
    <dxf>
      <fill>
        <patternFill>
          <bgColor theme="0" tint="-0.24994659260841701"/>
        </patternFill>
      </fill>
    </dxf>
    <dxf>
      <fill>
        <patternFill patternType="darkUp">
          <fgColor theme="1" tint="0.499984740745262"/>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theme="4" tint="0.79998168889431442"/>
        </patternFill>
      </fill>
    </dxf>
    <dxf>
      <fill>
        <patternFill>
          <bgColor rgb="FFBFBFBF"/>
        </patternFill>
      </fill>
    </dxf>
    <dxf>
      <fill>
        <patternFill>
          <bgColor theme="4" tint="0.79998168889431442"/>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1" tint="0.34998626667073579"/>
        </patternFill>
      </fill>
    </dxf>
    <dxf>
      <fill>
        <patternFill>
          <bgColor theme="0" tint="-0.24994659260841701"/>
        </patternFill>
      </fill>
    </dxf>
    <dxf>
      <fill>
        <patternFill>
          <bgColor theme="0" tint="-0.24994659260841701"/>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FF7C80"/>
        </patternFill>
      </fill>
    </dxf>
    <dxf>
      <fill>
        <patternFill>
          <bgColor rgb="FFC0C0C0"/>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theme="0"/>
        </patternFill>
      </fill>
    </dxf>
    <dxf>
      <fill>
        <patternFill>
          <bgColor rgb="FFCCFFCC"/>
        </patternFill>
      </fill>
    </dxf>
    <dxf>
      <fill>
        <patternFill>
          <bgColor rgb="FF777777"/>
        </patternFill>
      </fill>
    </dxf>
    <dxf>
      <fill>
        <patternFill>
          <bgColor rgb="FFC0C0C0"/>
        </patternFill>
      </fill>
    </dxf>
    <dxf>
      <fill>
        <patternFill>
          <bgColor rgb="FFFF7C80"/>
        </patternFill>
      </fill>
    </dxf>
    <dxf>
      <fill>
        <patternFill>
          <bgColor rgb="FFFFFF99"/>
        </patternFill>
      </fill>
    </dxf>
    <dxf>
      <fill>
        <patternFill>
          <bgColor rgb="FFCCFFCC"/>
        </patternFill>
      </fill>
    </dxf>
    <dxf>
      <fill>
        <patternFill>
          <bgColor indexed="9"/>
        </patternFill>
      </fill>
    </dxf>
    <dxf>
      <fill>
        <patternFill>
          <bgColor rgb="FFCCFFCC"/>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theme="0" tint="-0.24994659260841701"/>
        </patternFill>
      </fill>
    </dxf>
    <dxf>
      <fill>
        <patternFill>
          <bgColor rgb="FFC0C0C0"/>
        </patternFill>
      </fill>
    </dxf>
    <dxf>
      <fill>
        <patternFill>
          <bgColor rgb="FFFF7C80"/>
        </patternFill>
      </fill>
    </dxf>
    <dxf>
      <fill>
        <patternFill>
          <bgColor rgb="FF777777"/>
        </patternFill>
      </fill>
    </dxf>
    <dxf>
      <fill>
        <patternFill>
          <bgColor rgb="FFFF7C80"/>
        </patternFill>
      </fill>
    </dxf>
    <dxf>
      <fill>
        <patternFill>
          <bgColor rgb="FFFF7C80"/>
        </patternFill>
      </fill>
    </dxf>
    <dxf>
      <border>
        <left/>
        <right/>
        <top/>
        <bottom/>
      </border>
    </dxf>
    <dxf>
      <border>
        <left style="thin">
          <color indexed="64"/>
        </left>
        <right style="thin">
          <color indexed="64"/>
        </right>
        <top style="thin">
          <color indexed="64"/>
        </top>
        <bottom style="thin">
          <color indexed="64"/>
        </bottom>
      </border>
    </dxf>
    <dxf>
      <border>
        <left/>
        <right/>
        <top/>
        <bottom/>
      </border>
    </dxf>
    <dxf>
      <fill>
        <patternFill>
          <bgColor rgb="FFCCFFCC"/>
        </patternFill>
      </fill>
      <border>
        <left style="thin">
          <color auto="1"/>
        </left>
        <right style="thin">
          <color auto="1"/>
        </right>
        <top style="thin">
          <color auto="1"/>
        </top>
        <bottom style="thin">
          <color auto="1"/>
        </bottom>
      </border>
    </dxf>
    <dxf>
      <fill>
        <patternFill>
          <bgColor rgb="FFCCFFCC"/>
        </patternFill>
      </fill>
      <border>
        <left style="thin">
          <color auto="1"/>
        </left>
        <right style="thin">
          <color auto="1"/>
        </right>
        <top style="thin">
          <color auto="1"/>
        </top>
        <bottom style="thin">
          <color auto="1"/>
        </bottom>
      </border>
    </dxf>
    <dxf>
      <fill>
        <patternFill>
          <bgColor theme="0"/>
        </patternFill>
      </fill>
      <border>
        <left style="thin">
          <color auto="1"/>
        </left>
        <right style="thin">
          <color auto="1"/>
        </right>
        <top style="thin">
          <color auto="1"/>
        </top>
        <bottom style="thin">
          <color auto="1"/>
        </bottom>
        <vertical/>
        <horizontal/>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indexed="64"/>
        </left>
        <right style="thin">
          <color indexed="64"/>
        </right>
        <top style="thin">
          <color indexed="64"/>
        </top>
        <bottom style="thin">
          <color indexed="64"/>
        </bottom>
      </border>
    </dxf>
    <dxf>
      <fill>
        <patternFill>
          <bgColor rgb="FFFFFF99"/>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border>
    </dxf>
    <dxf>
      <border>
        <left/>
        <right/>
        <top/>
        <bottom/>
      </border>
    </dxf>
    <dxf>
      <border>
        <left style="thin">
          <color indexed="64"/>
        </left>
        <right style="thin">
          <color indexed="64"/>
        </right>
        <top style="thin">
          <color indexed="64"/>
        </top>
        <bottom style="thin">
          <color indexed="64"/>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0C0C0"/>
        </patternFill>
      </fill>
    </dxf>
    <dxf>
      <fill>
        <patternFill>
          <bgColor indexed="41"/>
        </patternFill>
      </fill>
    </dxf>
    <dxf>
      <fill>
        <patternFill>
          <bgColor rgb="FFFF7C80"/>
        </patternFill>
      </fill>
    </dxf>
    <dxf>
      <fill>
        <patternFill>
          <bgColor rgb="FFFFFF99"/>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CCFFCC"/>
        </patternFill>
      </fill>
    </dxf>
    <dxf>
      <fill>
        <patternFill>
          <bgColor rgb="FF99FF66"/>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CCFFCC"/>
        </patternFill>
      </fill>
    </dxf>
    <dxf>
      <fill>
        <patternFill>
          <bgColor rgb="FF99FF66"/>
        </patternFill>
      </fill>
    </dxf>
    <dxf>
      <fill>
        <patternFill>
          <bgColor rgb="FFFFFF99"/>
        </patternFill>
      </fill>
    </dxf>
    <dxf>
      <fill>
        <patternFill>
          <bgColor rgb="FF99FF66"/>
        </patternFill>
      </fill>
    </dxf>
    <dxf>
      <fill>
        <patternFill>
          <bgColor rgb="FFCCFFCC"/>
        </patternFill>
      </fill>
    </dxf>
    <dxf>
      <fill>
        <patternFill>
          <bgColor rgb="FF99FF66"/>
        </patternFill>
      </fill>
    </dxf>
    <dxf>
      <fill>
        <patternFill>
          <bgColor indexed="14"/>
        </patternFill>
      </fill>
    </dxf>
    <dxf>
      <fill>
        <patternFill>
          <bgColor indexed="43"/>
        </patternFill>
      </fill>
    </dxf>
    <dxf>
      <fill>
        <patternFill>
          <bgColor indexed="4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DCE6F1"/>
        </patternFill>
      </fill>
    </dxf>
    <dxf>
      <fill>
        <patternFill>
          <bgColor rgb="FFDCE6F1"/>
        </patternFill>
      </fill>
    </dxf>
    <dxf>
      <fill>
        <patternFill>
          <bgColor rgb="FFC0C0C0"/>
        </patternFill>
      </fill>
    </dxf>
    <dxf>
      <fill>
        <patternFill>
          <bgColor rgb="FFFFFF99"/>
        </patternFill>
      </fill>
    </dxf>
    <dxf>
      <fill>
        <patternFill>
          <bgColor rgb="FFFFFFFF"/>
        </patternFill>
      </fill>
    </dxf>
    <dxf>
      <fill>
        <patternFill>
          <bgColor theme="0"/>
        </patternFill>
      </fill>
    </dxf>
    <dxf>
      <fill>
        <patternFill>
          <bgColor rgb="FFDCE6F1"/>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indexed="8"/>
        <name val="Arial"/>
        <scheme val="none"/>
      </font>
      <alignment horizontal="left" vertical="center"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textRotation="0" wrapText="0" indent="0" justifyLastLine="0" shrinkToFit="0" readingOrder="0"/>
    </dxf>
    <dxf>
      <font>
        <b val="0"/>
        <i val="0"/>
        <strike val="0"/>
        <condense val="0"/>
        <extend val="0"/>
        <outline val="0"/>
        <shadow val="0"/>
        <u val="none"/>
        <vertAlign val="baseline"/>
        <sz val="8"/>
        <color auto="1"/>
        <name val="Arial"/>
        <scheme val="none"/>
      </font>
      <alignment horizontal="left" textRotation="0" wrapText="0" indent="0" justifyLastLine="0" shrinkToFit="0" readingOrder="0"/>
    </dxf>
    <dxf>
      <font>
        <b val="0"/>
        <i val="0"/>
        <strike val="0"/>
        <condense val="0"/>
        <extend val="0"/>
        <outline val="0"/>
        <shadow val="0"/>
        <u val="none"/>
        <vertAlign val="baseline"/>
        <sz val="8"/>
        <color theme="1"/>
        <name val="Arial"/>
        <scheme val="none"/>
      </font>
      <alignment horizontal="left" textRotation="0" wrapText="0" indent="0" justifyLastLine="0" shrinkToFit="0" readingOrder="0"/>
    </dxf>
    <dxf>
      <font>
        <b val="0"/>
        <i val="0"/>
        <strike val="0"/>
        <condense val="0"/>
        <extend val="0"/>
        <outline val="0"/>
        <shadow val="0"/>
        <u val="none"/>
        <vertAlign val="baseline"/>
        <sz val="8"/>
        <color auto="1"/>
        <name val="Arial"/>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FFFFFF"/>
      <color rgb="FFC0C0C0"/>
      <color rgb="FFDCE6F1"/>
      <color rgb="FFFFFF99"/>
      <color rgb="FFC1C1C1"/>
      <color rgb="FFCCFFCC"/>
      <color rgb="FFE6E6F1"/>
      <color rgb="FFEAF0F6"/>
      <color rgb="FF99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400050</xdr:colOff>
      <xdr:row>13</xdr:row>
      <xdr:rowOff>9525</xdr:rowOff>
    </xdr:from>
    <xdr:to>
      <xdr:col>15</xdr:col>
      <xdr:colOff>0</xdr:colOff>
      <xdr:row>13</xdr:row>
      <xdr:rowOff>114300</xdr:rowOff>
    </xdr:to>
    <xdr:pic>
      <xdr:nvPicPr>
        <xdr:cNvPr id="206265" name="Grafik 15">
          <a:extLst>
            <a:ext uri="{FF2B5EF4-FFF2-40B4-BE49-F238E27FC236}">
              <a16:creationId xmlns:a16="http://schemas.microsoft.com/office/drawing/2014/main" id="{00000000-0008-0000-0000-0000B9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781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5</xdr:row>
      <xdr:rowOff>9525</xdr:rowOff>
    </xdr:from>
    <xdr:to>
      <xdr:col>5</xdr:col>
      <xdr:colOff>0</xdr:colOff>
      <xdr:row>5</xdr:row>
      <xdr:rowOff>114300</xdr:rowOff>
    </xdr:to>
    <xdr:pic>
      <xdr:nvPicPr>
        <xdr:cNvPr id="206266" name="Grafik 15">
          <a:extLst>
            <a:ext uri="{FF2B5EF4-FFF2-40B4-BE49-F238E27FC236}">
              <a16:creationId xmlns:a16="http://schemas.microsoft.com/office/drawing/2014/main" id="{00000000-0008-0000-0000-0000B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11</xdr:row>
      <xdr:rowOff>9525</xdr:rowOff>
    </xdr:from>
    <xdr:to>
      <xdr:col>15</xdr:col>
      <xdr:colOff>0</xdr:colOff>
      <xdr:row>11</xdr:row>
      <xdr:rowOff>114300</xdr:rowOff>
    </xdr:to>
    <xdr:pic>
      <xdr:nvPicPr>
        <xdr:cNvPr id="206274" name="Grafik 15">
          <a:extLst>
            <a:ext uri="{FF2B5EF4-FFF2-40B4-BE49-F238E27FC236}">
              <a16:creationId xmlns:a16="http://schemas.microsoft.com/office/drawing/2014/main" id="{00000000-0008-0000-0000-0000C2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142875</xdr:colOff>
      <xdr:row>0</xdr:row>
      <xdr:rowOff>66675</xdr:rowOff>
    </xdr:from>
    <xdr:to>
      <xdr:col>15</xdr:col>
      <xdr:colOff>0</xdr:colOff>
      <xdr:row>3</xdr:row>
      <xdr:rowOff>114300</xdr:rowOff>
    </xdr:to>
    <xdr:pic>
      <xdr:nvPicPr>
        <xdr:cNvPr id="206278" name="Grafik 1">
          <a:extLst>
            <a:ext uri="{FF2B5EF4-FFF2-40B4-BE49-F238E27FC236}">
              <a16:creationId xmlns:a16="http://schemas.microsoft.com/office/drawing/2014/main" id="{00000000-0008-0000-0000-0000C625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775" y="66675"/>
          <a:ext cx="13049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15</xdr:row>
      <xdr:rowOff>9525</xdr:rowOff>
    </xdr:from>
    <xdr:to>
      <xdr:col>5</xdr:col>
      <xdr:colOff>0</xdr:colOff>
      <xdr:row>15</xdr:row>
      <xdr:rowOff>114300</xdr:rowOff>
    </xdr:to>
    <xdr:pic>
      <xdr:nvPicPr>
        <xdr:cNvPr id="206282" name="Grafik 15">
          <a:extLst>
            <a:ext uri="{FF2B5EF4-FFF2-40B4-BE49-F238E27FC236}">
              <a16:creationId xmlns:a16="http://schemas.microsoft.com/office/drawing/2014/main" id="{00000000-0008-0000-0000-0000CA25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0850" y="15144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32</xdr:row>
      <xdr:rowOff>9525</xdr:rowOff>
    </xdr:from>
    <xdr:to>
      <xdr:col>4</xdr:col>
      <xdr:colOff>0</xdr:colOff>
      <xdr:row>32</xdr:row>
      <xdr:rowOff>114300</xdr:rowOff>
    </xdr:to>
    <xdr:pic>
      <xdr:nvPicPr>
        <xdr:cNvPr id="21" name="Grafik 14">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32</xdr:row>
      <xdr:rowOff>9525</xdr:rowOff>
    </xdr:from>
    <xdr:to>
      <xdr:col>14</xdr:col>
      <xdr:colOff>504825</xdr:colOff>
      <xdr:row>32</xdr:row>
      <xdr:rowOff>114300</xdr:rowOff>
    </xdr:to>
    <xdr:pic>
      <xdr:nvPicPr>
        <xdr:cNvPr id="23" name="Grafik 14">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57531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33</xdr:row>
      <xdr:rowOff>9525</xdr:rowOff>
    </xdr:from>
    <xdr:to>
      <xdr:col>14</xdr:col>
      <xdr:colOff>504825</xdr:colOff>
      <xdr:row>33</xdr:row>
      <xdr:rowOff>114300</xdr:rowOff>
    </xdr:to>
    <xdr:pic>
      <xdr:nvPicPr>
        <xdr:cNvPr id="24" name="Grafik 14">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019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34</xdr:row>
      <xdr:rowOff>9525</xdr:rowOff>
    </xdr:from>
    <xdr:to>
      <xdr:col>14</xdr:col>
      <xdr:colOff>504825</xdr:colOff>
      <xdr:row>34</xdr:row>
      <xdr:rowOff>114300</xdr:rowOff>
    </xdr:to>
    <xdr:pic>
      <xdr:nvPicPr>
        <xdr:cNvPr id="25" name="Grafik 1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6286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39</xdr:row>
      <xdr:rowOff>9525</xdr:rowOff>
    </xdr:from>
    <xdr:to>
      <xdr:col>14</xdr:col>
      <xdr:colOff>504825</xdr:colOff>
      <xdr:row>39</xdr:row>
      <xdr:rowOff>114300</xdr:rowOff>
    </xdr:to>
    <xdr:pic>
      <xdr:nvPicPr>
        <xdr:cNvPr id="27" name="Grafik 14">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39</xdr:row>
      <xdr:rowOff>9525</xdr:rowOff>
    </xdr:from>
    <xdr:to>
      <xdr:col>9</xdr:col>
      <xdr:colOff>0</xdr:colOff>
      <xdr:row>39</xdr:row>
      <xdr:rowOff>114300</xdr:rowOff>
    </xdr:to>
    <xdr:pic>
      <xdr:nvPicPr>
        <xdr:cNvPr id="28" name="Grafik 14">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342900</xdr:colOff>
      <xdr:row>39</xdr:row>
      <xdr:rowOff>9525</xdr:rowOff>
    </xdr:from>
    <xdr:to>
      <xdr:col>11</xdr:col>
      <xdr:colOff>0</xdr:colOff>
      <xdr:row>39</xdr:row>
      <xdr:rowOff>114300</xdr:rowOff>
    </xdr:to>
    <xdr:pic>
      <xdr:nvPicPr>
        <xdr:cNvPr id="30" name="Grafik 14">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76200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52</xdr:row>
      <xdr:rowOff>9525</xdr:rowOff>
    </xdr:from>
    <xdr:to>
      <xdr:col>14</xdr:col>
      <xdr:colOff>504825</xdr:colOff>
      <xdr:row>52</xdr:row>
      <xdr:rowOff>114300</xdr:rowOff>
    </xdr:to>
    <xdr:pic>
      <xdr:nvPicPr>
        <xdr:cNvPr id="31" name="Grafik 14">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10401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44</xdr:row>
      <xdr:rowOff>9525</xdr:rowOff>
    </xdr:from>
    <xdr:to>
      <xdr:col>14</xdr:col>
      <xdr:colOff>504825</xdr:colOff>
      <xdr:row>44</xdr:row>
      <xdr:rowOff>114300</xdr:rowOff>
    </xdr:to>
    <xdr:pic>
      <xdr:nvPicPr>
        <xdr:cNvPr id="35" name="Grafik 1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458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400050</xdr:colOff>
      <xdr:row>45</xdr:row>
      <xdr:rowOff>9525</xdr:rowOff>
    </xdr:from>
    <xdr:to>
      <xdr:col>14</xdr:col>
      <xdr:colOff>504825</xdr:colOff>
      <xdr:row>45</xdr:row>
      <xdr:rowOff>114300</xdr:rowOff>
    </xdr:to>
    <xdr:pic>
      <xdr:nvPicPr>
        <xdr:cNvPr id="36" name="Grafik 14">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8696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342900</xdr:colOff>
      <xdr:row>34</xdr:row>
      <xdr:rowOff>9525</xdr:rowOff>
    </xdr:from>
    <xdr:to>
      <xdr:col>9</xdr:col>
      <xdr:colOff>0</xdr:colOff>
      <xdr:row>34</xdr:row>
      <xdr:rowOff>114300</xdr:rowOff>
    </xdr:to>
    <xdr:pic>
      <xdr:nvPicPr>
        <xdr:cNvPr id="26" name="Grafik 14">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91075" y="6315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23</xdr:row>
      <xdr:rowOff>9525</xdr:rowOff>
    </xdr:from>
    <xdr:to>
      <xdr:col>4</xdr:col>
      <xdr:colOff>9525</xdr:colOff>
      <xdr:row>23</xdr:row>
      <xdr:rowOff>114300</xdr:rowOff>
    </xdr:to>
    <xdr:pic>
      <xdr:nvPicPr>
        <xdr:cNvPr id="2" name="Grafik 15">
          <a:extLst>
            <a:ext uri="{FF2B5EF4-FFF2-40B4-BE49-F238E27FC236}">
              <a16:creationId xmlns:a16="http://schemas.microsoft.com/office/drawing/2014/main" id="{DEB95D7C-9883-449B-81B6-AD6B9B4BCC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3019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32</xdr:row>
      <xdr:rowOff>9525</xdr:rowOff>
    </xdr:from>
    <xdr:to>
      <xdr:col>6</xdr:col>
      <xdr:colOff>0</xdr:colOff>
      <xdr:row>32</xdr:row>
      <xdr:rowOff>114300</xdr:rowOff>
    </xdr:to>
    <xdr:pic>
      <xdr:nvPicPr>
        <xdr:cNvPr id="3" name="Grafik 14">
          <a:extLst>
            <a:ext uri="{FF2B5EF4-FFF2-40B4-BE49-F238E27FC236}">
              <a16:creationId xmlns:a16="http://schemas.microsoft.com/office/drawing/2014/main" id="{EFFA40D7-9DD5-40CD-B116-1C682B349B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5962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32</xdr:row>
      <xdr:rowOff>9525</xdr:rowOff>
    </xdr:from>
    <xdr:to>
      <xdr:col>7</xdr:col>
      <xdr:colOff>0</xdr:colOff>
      <xdr:row>32</xdr:row>
      <xdr:rowOff>114300</xdr:rowOff>
    </xdr:to>
    <xdr:pic>
      <xdr:nvPicPr>
        <xdr:cNvPr id="4" name="Grafik 14">
          <a:extLst>
            <a:ext uri="{FF2B5EF4-FFF2-40B4-BE49-F238E27FC236}">
              <a16:creationId xmlns:a16="http://schemas.microsoft.com/office/drawing/2014/main" id="{80878B3A-52B8-46E3-85BD-D31E773A9C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59626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342900</xdr:colOff>
      <xdr:row>39</xdr:row>
      <xdr:rowOff>9525</xdr:rowOff>
    </xdr:from>
    <xdr:to>
      <xdr:col>6</xdr:col>
      <xdr:colOff>0</xdr:colOff>
      <xdr:row>39</xdr:row>
      <xdr:rowOff>114300</xdr:rowOff>
    </xdr:to>
    <xdr:pic>
      <xdr:nvPicPr>
        <xdr:cNvPr id="5" name="Grafik 14">
          <a:extLst>
            <a:ext uri="{FF2B5EF4-FFF2-40B4-BE49-F238E27FC236}">
              <a16:creationId xmlns:a16="http://schemas.microsoft.com/office/drawing/2014/main" id="{C44BC02B-B913-47BC-85B5-33F158038B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39</xdr:row>
      <xdr:rowOff>9525</xdr:rowOff>
    </xdr:from>
    <xdr:to>
      <xdr:col>7</xdr:col>
      <xdr:colOff>0</xdr:colOff>
      <xdr:row>39</xdr:row>
      <xdr:rowOff>114300</xdr:rowOff>
    </xdr:to>
    <xdr:pic>
      <xdr:nvPicPr>
        <xdr:cNvPr id="6" name="Grafik 14">
          <a:extLst>
            <a:ext uri="{FF2B5EF4-FFF2-40B4-BE49-F238E27FC236}">
              <a16:creationId xmlns:a16="http://schemas.microsoft.com/office/drawing/2014/main" id="{7BFDAF2A-D7C8-4A02-950E-3AEC9A85F2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9075" y="7629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13</xdr:row>
      <xdr:rowOff>9525</xdr:rowOff>
    </xdr:from>
    <xdr:to>
      <xdr:col>5</xdr:col>
      <xdr:colOff>0</xdr:colOff>
      <xdr:row>13</xdr:row>
      <xdr:rowOff>114300</xdr:rowOff>
    </xdr:to>
    <xdr:pic>
      <xdr:nvPicPr>
        <xdr:cNvPr id="7" name="Grafik 15">
          <a:extLst>
            <a:ext uri="{FF2B5EF4-FFF2-40B4-BE49-F238E27FC236}">
              <a16:creationId xmlns:a16="http://schemas.microsoft.com/office/drawing/2014/main" id="{48BEF50F-B95F-480A-8261-132B19EBEB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8097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11</xdr:row>
      <xdr:rowOff>9525</xdr:rowOff>
    </xdr:from>
    <xdr:to>
      <xdr:col>5</xdr:col>
      <xdr:colOff>0</xdr:colOff>
      <xdr:row>11</xdr:row>
      <xdr:rowOff>114300</xdr:rowOff>
    </xdr:to>
    <xdr:pic>
      <xdr:nvPicPr>
        <xdr:cNvPr id="8" name="Grafik 15">
          <a:extLst>
            <a:ext uri="{FF2B5EF4-FFF2-40B4-BE49-F238E27FC236}">
              <a16:creationId xmlns:a16="http://schemas.microsoft.com/office/drawing/2014/main" id="{C4F26986-DEB8-465C-9F46-476833422D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1571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3773037E-ADD4-465B-9635-2272B68726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1254C78E-E8BA-41C4-A74E-CCBBA612FEE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714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41A7F29E-08EB-4C63-8392-E66D6993CC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78A68655-C184-4C6D-8060-9B3024F502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F3CFC1DE-EA82-48BB-80A8-973F95AB1D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6478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0</xdr:colOff>
      <xdr:row>0</xdr:row>
      <xdr:rowOff>114300</xdr:rowOff>
    </xdr:to>
    <xdr:pic>
      <xdr:nvPicPr>
        <xdr:cNvPr id="89955" name="Grafik 15">
          <a:extLst>
            <a:ext uri="{FF2B5EF4-FFF2-40B4-BE49-F238E27FC236}">
              <a16:creationId xmlns:a16="http://schemas.microsoft.com/office/drawing/2014/main" id="{00000000-0008-0000-0100-0000635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95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1724025</xdr:colOff>
      <xdr:row>0</xdr:row>
      <xdr:rowOff>19050</xdr:rowOff>
    </xdr:from>
    <xdr:to>
      <xdr:col>11</xdr:col>
      <xdr:colOff>47625</xdr:colOff>
      <xdr:row>3</xdr:row>
      <xdr:rowOff>38100</xdr:rowOff>
    </xdr:to>
    <xdr:pic>
      <xdr:nvPicPr>
        <xdr:cNvPr id="2" name="Grafik 1">
          <a:extLst>
            <a:ext uri="{FF2B5EF4-FFF2-40B4-BE49-F238E27FC236}">
              <a16:creationId xmlns:a16="http://schemas.microsoft.com/office/drawing/2014/main" id="{2AF07FE9-C5C7-4423-A27F-311343BDCC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06600"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3" name="Grafik 18">
          <a:extLst>
            <a:ext uri="{FF2B5EF4-FFF2-40B4-BE49-F238E27FC236}">
              <a16:creationId xmlns:a16="http://schemas.microsoft.com/office/drawing/2014/main" id="{43F8CC34-F269-4624-A2C6-26DEB0BFBB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524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981075</xdr:colOff>
      <xdr:row>5</xdr:row>
      <xdr:rowOff>9525</xdr:rowOff>
    </xdr:from>
    <xdr:to>
      <xdr:col>4</xdr:col>
      <xdr:colOff>0</xdr:colOff>
      <xdr:row>5</xdr:row>
      <xdr:rowOff>104775</xdr:rowOff>
    </xdr:to>
    <xdr:pic>
      <xdr:nvPicPr>
        <xdr:cNvPr id="4" name="Grafik 18">
          <a:extLst>
            <a:ext uri="{FF2B5EF4-FFF2-40B4-BE49-F238E27FC236}">
              <a16:creationId xmlns:a16="http://schemas.microsoft.com/office/drawing/2014/main" id="{A72F7CE9-A205-4387-8C5D-D7E7FDAB8C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91375" y="742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24</xdr:row>
      <xdr:rowOff>9525</xdr:rowOff>
    </xdr:from>
    <xdr:to>
      <xdr:col>5</xdr:col>
      <xdr:colOff>0</xdr:colOff>
      <xdr:row>24</xdr:row>
      <xdr:rowOff>104775</xdr:rowOff>
    </xdr:to>
    <xdr:pic>
      <xdr:nvPicPr>
        <xdr:cNvPr id="5" name="Grafik 18">
          <a:extLst>
            <a:ext uri="{FF2B5EF4-FFF2-40B4-BE49-F238E27FC236}">
              <a16:creationId xmlns:a16="http://schemas.microsoft.com/office/drawing/2014/main" id="{24D6B7A7-174A-4F3C-B5F7-9DF8650BE6A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0" y="671512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609600</xdr:colOff>
      <xdr:row>5</xdr:row>
      <xdr:rowOff>9525</xdr:rowOff>
    </xdr:from>
    <xdr:to>
      <xdr:col>5</xdr:col>
      <xdr:colOff>0</xdr:colOff>
      <xdr:row>5</xdr:row>
      <xdr:rowOff>104775</xdr:rowOff>
    </xdr:to>
    <xdr:pic>
      <xdr:nvPicPr>
        <xdr:cNvPr id="6" name="Grafik 18">
          <a:extLst>
            <a:ext uri="{FF2B5EF4-FFF2-40B4-BE49-F238E27FC236}">
              <a16:creationId xmlns:a16="http://schemas.microsoft.com/office/drawing/2014/main" id="{8A2B504F-F71E-4BF5-9FE4-C526466A79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05750" y="8001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342900</xdr:colOff>
      <xdr:row>3</xdr:row>
      <xdr:rowOff>9525</xdr:rowOff>
    </xdr:from>
    <xdr:to>
      <xdr:col>15</xdr:col>
      <xdr:colOff>0</xdr:colOff>
      <xdr:row>3</xdr:row>
      <xdr:rowOff>114300</xdr:rowOff>
    </xdr:to>
    <xdr:pic>
      <xdr:nvPicPr>
        <xdr:cNvPr id="205517" name="Grafik 2">
          <a:extLst>
            <a:ext uri="{FF2B5EF4-FFF2-40B4-BE49-F238E27FC236}">
              <a16:creationId xmlns:a16="http://schemas.microsoft.com/office/drawing/2014/main" id="{00000000-0008-0000-0400-0000C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15275" y="542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3</xdr:row>
      <xdr:rowOff>9525</xdr:rowOff>
    </xdr:from>
    <xdr:to>
      <xdr:col>6</xdr:col>
      <xdr:colOff>0</xdr:colOff>
      <xdr:row>3</xdr:row>
      <xdr:rowOff>114300</xdr:rowOff>
    </xdr:to>
    <xdr:pic>
      <xdr:nvPicPr>
        <xdr:cNvPr id="205519" name="Grafik 4">
          <a:extLst>
            <a:ext uri="{FF2B5EF4-FFF2-40B4-BE49-F238E27FC236}">
              <a16:creationId xmlns:a16="http://schemas.microsoft.com/office/drawing/2014/main" id="{00000000-0008-0000-0400-0000C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5048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4600575</xdr:colOff>
      <xdr:row>6</xdr:row>
      <xdr:rowOff>9525</xdr:rowOff>
    </xdr:from>
    <xdr:to>
      <xdr:col>18</xdr:col>
      <xdr:colOff>4714875</xdr:colOff>
      <xdr:row>6</xdr:row>
      <xdr:rowOff>104775</xdr:rowOff>
    </xdr:to>
    <xdr:pic>
      <xdr:nvPicPr>
        <xdr:cNvPr id="205520" name="Grafik 6">
          <a:extLst>
            <a:ext uri="{FF2B5EF4-FFF2-40B4-BE49-F238E27FC236}">
              <a16:creationId xmlns:a16="http://schemas.microsoft.com/office/drawing/2014/main" id="{00000000-0008-0000-0400-0000D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43243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50</xdr:row>
      <xdr:rowOff>9525</xdr:rowOff>
    </xdr:from>
    <xdr:to>
      <xdr:col>16</xdr:col>
      <xdr:colOff>514350</xdr:colOff>
      <xdr:row>50</xdr:row>
      <xdr:rowOff>114300</xdr:rowOff>
    </xdr:to>
    <xdr:pic>
      <xdr:nvPicPr>
        <xdr:cNvPr id="205521" name="Grafik 7">
          <a:extLst>
            <a:ext uri="{FF2B5EF4-FFF2-40B4-BE49-F238E27FC236}">
              <a16:creationId xmlns:a16="http://schemas.microsoft.com/office/drawing/2014/main" id="{00000000-0008-0000-0400-0000D1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0602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38</xdr:row>
      <xdr:rowOff>9525</xdr:rowOff>
    </xdr:from>
    <xdr:to>
      <xdr:col>17</xdr:col>
      <xdr:colOff>0</xdr:colOff>
      <xdr:row>38</xdr:row>
      <xdr:rowOff>114300</xdr:rowOff>
    </xdr:to>
    <xdr:pic>
      <xdr:nvPicPr>
        <xdr:cNvPr id="205523" name="Grafik 11">
          <a:extLst>
            <a:ext uri="{FF2B5EF4-FFF2-40B4-BE49-F238E27FC236}">
              <a16:creationId xmlns:a16="http://schemas.microsoft.com/office/drawing/2014/main" id="{00000000-0008-0000-0400-0000D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153447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xdr:row>
      <xdr:rowOff>9525</xdr:rowOff>
    </xdr:from>
    <xdr:to>
      <xdr:col>16</xdr:col>
      <xdr:colOff>514350</xdr:colOff>
      <xdr:row>7</xdr:row>
      <xdr:rowOff>114300</xdr:rowOff>
    </xdr:to>
    <xdr:pic>
      <xdr:nvPicPr>
        <xdr:cNvPr id="205524" name="Grafik 12">
          <a:extLst>
            <a:ext uri="{FF2B5EF4-FFF2-40B4-BE49-F238E27FC236}">
              <a16:creationId xmlns:a16="http://schemas.microsoft.com/office/drawing/2014/main" id="{00000000-0008-0000-0400-0000D4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619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44</xdr:row>
      <xdr:rowOff>9525</xdr:rowOff>
    </xdr:from>
    <xdr:to>
      <xdr:col>16</xdr:col>
      <xdr:colOff>514350</xdr:colOff>
      <xdr:row>44</xdr:row>
      <xdr:rowOff>114300</xdr:rowOff>
    </xdr:to>
    <xdr:pic>
      <xdr:nvPicPr>
        <xdr:cNvPr id="205525" name="Grafik 13">
          <a:extLst>
            <a:ext uri="{FF2B5EF4-FFF2-40B4-BE49-F238E27FC236}">
              <a16:creationId xmlns:a16="http://schemas.microsoft.com/office/drawing/2014/main" id="{00000000-0008-0000-0400-0000D5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7973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47</xdr:row>
      <xdr:rowOff>9525</xdr:rowOff>
    </xdr:from>
    <xdr:to>
      <xdr:col>16</xdr:col>
      <xdr:colOff>514350</xdr:colOff>
      <xdr:row>47</xdr:row>
      <xdr:rowOff>114300</xdr:rowOff>
    </xdr:to>
    <xdr:pic>
      <xdr:nvPicPr>
        <xdr:cNvPr id="205526" name="Grafik 14">
          <a:extLst>
            <a:ext uri="{FF2B5EF4-FFF2-40B4-BE49-F238E27FC236}">
              <a16:creationId xmlns:a16="http://schemas.microsoft.com/office/drawing/2014/main" id="{00000000-0008-0000-0400-0000D6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9288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52</xdr:row>
      <xdr:rowOff>9525</xdr:rowOff>
    </xdr:from>
    <xdr:to>
      <xdr:col>16</xdr:col>
      <xdr:colOff>514350</xdr:colOff>
      <xdr:row>52</xdr:row>
      <xdr:rowOff>114300</xdr:rowOff>
    </xdr:to>
    <xdr:pic>
      <xdr:nvPicPr>
        <xdr:cNvPr id="205527" name="Grafik 15">
          <a:extLst>
            <a:ext uri="{FF2B5EF4-FFF2-40B4-BE49-F238E27FC236}">
              <a16:creationId xmlns:a16="http://schemas.microsoft.com/office/drawing/2014/main" id="{00000000-0008-0000-0400-0000D7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147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59</xdr:row>
      <xdr:rowOff>9525</xdr:rowOff>
    </xdr:from>
    <xdr:to>
      <xdr:col>16</xdr:col>
      <xdr:colOff>514350</xdr:colOff>
      <xdr:row>59</xdr:row>
      <xdr:rowOff>114300</xdr:rowOff>
    </xdr:to>
    <xdr:pic>
      <xdr:nvPicPr>
        <xdr:cNvPr id="205528" name="Grafik 17">
          <a:extLst>
            <a:ext uri="{FF2B5EF4-FFF2-40B4-BE49-F238E27FC236}">
              <a16:creationId xmlns:a16="http://schemas.microsoft.com/office/drawing/2014/main" id="{00000000-0008-0000-0400-0000D8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974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xdr:row>
      <xdr:rowOff>9525</xdr:rowOff>
    </xdr:from>
    <xdr:to>
      <xdr:col>16</xdr:col>
      <xdr:colOff>514350</xdr:colOff>
      <xdr:row>5</xdr:row>
      <xdr:rowOff>114300</xdr:rowOff>
    </xdr:to>
    <xdr:pic>
      <xdr:nvPicPr>
        <xdr:cNvPr id="205529" name="Grafik 12">
          <a:extLst>
            <a:ext uri="{FF2B5EF4-FFF2-40B4-BE49-F238E27FC236}">
              <a16:creationId xmlns:a16="http://schemas.microsoft.com/office/drawing/2014/main" id="{00000000-0008-0000-0400-0000D9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4114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219075</xdr:colOff>
      <xdr:row>5</xdr:row>
      <xdr:rowOff>9525</xdr:rowOff>
    </xdr:from>
    <xdr:to>
      <xdr:col>3</xdr:col>
      <xdr:colOff>333375</xdr:colOff>
      <xdr:row>5</xdr:row>
      <xdr:rowOff>114300</xdr:rowOff>
    </xdr:to>
    <xdr:pic>
      <xdr:nvPicPr>
        <xdr:cNvPr id="205530" name="Grafik 5">
          <a:extLst>
            <a:ext uri="{FF2B5EF4-FFF2-40B4-BE49-F238E27FC236}">
              <a16:creationId xmlns:a16="http://schemas.microsoft.com/office/drawing/2014/main" id="{00000000-0008-0000-0400-0000DA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10</xdr:row>
      <xdr:rowOff>9525</xdr:rowOff>
    </xdr:from>
    <xdr:to>
      <xdr:col>16</xdr:col>
      <xdr:colOff>514350</xdr:colOff>
      <xdr:row>10</xdr:row>
      <xdr:rowOff>114300</xdr:rowOff>
    </xdr:to>
    <xdr:pic>
      <xdr:nvPicPr>
        <xdr:cNvPr id="205531" name="Grafik 12">
          <a:extLst>
            <a:ext uri="{FF2B5EF4-FFF2-40B4-BE49-F238E27FC236}">
              <a16:creationId xmlns:a16="http://schemas.microsoft.com/office/drawing/2014/main" id="{00000000-0008-0000-0400-0000DB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5905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13</xdr:row>
      <xdr:rowOff>9525</xdr:rowOff>
    </xdr:from>
    <xdr:to>
      <xdr:col>16</xdr:col>
      <xdr:colOff>514350</xdr:colOff>
      <xdr:row>13</xdr:row>
      <xdr:rowOff>114300</xdr:rowOff>
    </xdr:to>
    <xdr:pic>
      <xdr:nvPicPr>
        <xdr:cNvPr id="205532" name="Grafik 12">
          <a:extLst>
            <a:ext uri="{FF2B5EF4-FFF2-40B4-BE49-F238E27FC236}">
              <a16:creationId xmlns:a16="http://schemas.microsoft.com/office/drawing/2014/main" id="{00000000-0008-0000-0400-0000DC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16</xdr:row>
      <xdr:rowOff>9525</xdr:rowOff>
    </xdr:from>
    <xdr:to>
      <xdr:col>16</xdr:col>
      <xdr:colOff>514350</xdr:colOff>
      <xdr:row>16</xdr:row>
      <xdr:rowOff>114300</xdr:rowOff>
    </xdr:to>
    <xdr:pic>
      <xdr:nvPicPr>
        <xdr:cNvPr id="205533" name="Grafik 12">
          <a:extLst>
            <a:ext uri="{FF2B5EF4-FFF2-40B4-BE49-F238E27FC236}">
              <a16:creationId xmlns:a16="http://schemas.microsoft.com/office/drawing/2014/main" id="{00000000-0008-0000-0400-0000DD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8477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58</xdr:row>
      <xdr:rowOff>9525</xdr:rowOff>
    </xdr:from>
    <xdr:to>
      <xdr:col>16</xdr:col>
      <xdr:colOff>514350</xdr:colOff>
      <xdr:row>58</xdr:row>
      <xdr:rowOff>114300</xdr:rowOff>
    </xdr:to>
    <xdr:pic>
      <xdr:nvPicPr>
        <xdr:cNvPr id="205534" name="Grafik 17">
          <a:extLst>
            <a:ext uri="{FF2B5EF4-FFF2-40B4-BE49-F238E27FC236}">
              <a16:creationId xmlns:a16="http://schemas.microsoft.com/office/drawing/2014/main" id="{00000000-0008-0000-0400-0000DE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2553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xdr:colOff>
      <xdr:row>5</xdr:row>
      <xdr:rowOff>9525</xdr:rowOff>
    </xdr:from>
    <xdr:to>
      <xdr:col>2</xdr:col>
      <xdr:colOff>171450</xdr:colOff>
      <xdr:row>5</xdr:row>
      <xdr:rowOff>114300</xdr:rowOff>
    </xdr:to>
    <xdr:pic>
      <xdr:nvPicPr>
        <xdr:cNvPr id="205535" name="Grafik 5">
          <a:extLst>
            <a:ext uri="{FF2B5EF4-FFF2-40B4-BE49-F238E27FC236}">
              <a16:creationId xmlns:a16="http://schemas.microsoft.com/office/drawing/2014/main" id="{00000000-0008-0000-0400-0000DF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41148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65</xdr:row>
      <xdr:rowOff>9525</xdr:rowOff>
    </xdr:from>
    <xdr:to>
      <xdr:col>16</xdr:col>
      <xdr:colOff>514350</xdr:colOff>
      <xdr:row>65</xdr:row>
      <xdr:rowOff>114300</xdr:rowOff>
    </xdr:to>
    <xdr:pic>
      <xdr:nvPicPr>
        <xdr:cNvPr id="205536" name="Grafik 20">
          <a:extLst>
            <a:ext uri="{FF2B5EF4-FFF2-40B4-BE49-F238E27FC236}">
              <a16:creationId xmlns:a16="http://schemas.microsoft.com/office/drawing/2014/main" id="{00000000-0008-0000-0400-0000E0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91575" y="286035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161925</xdr:colOff>
      <xdr:row>0</xdr:row>
      <xdr:rowOff>85725</xdr:rowOff>
    </xdr:from>
    <xdr:to>
      <xdr:col>17</xdr:col>
      <xdr:colOff>533400</xdr:colOff>
      <xdr:row>3</xdr:row>
      <xdr:rowOff>114300</xdr:rowOff>
    </xdr:to>
    <xdr:pic>
      <xdr:nvPicPr>
        <xdr:cNvPr id="205537" name="Grafik 1">
          <a:extLst>
            <a:ext uri="{FF2B5EF4-FFF2-40B4-BE49-F238E27FC236}">
              <a16:creationId xmlns:a16="http://schemas.microsoft.com/office/drawing/2014/main" id="{00000000-0008-0000-0400-0000E122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34350" y="8572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37</xdr:row>
      <xdr:rowOff>9525</xdr:rowOff>
    </xdr:from>
    <xdr:to>
      <xdr:col>16</xdr:col>
      <xdr:colOff>514350</xdr:colOff>
      <xdr:row>37</xdr:row>
      <xdr:rowOff>114300</xdr:rowOff>
    </xdr:to>
    <xdr:pic>
      <xdr:nvPicPr>
        <xdr:cNvPr id="205539" name="Grafik 11">
          <a:extLst>
            <a:ext uri="{FF2B5EF4-FFF2-40B4-BE49-F238E27FC236}">
              <a16:creationId xmlns:a16="http://schemas.microsoft.com/office/drawing/2014/main" id="{00000000-0008-0000-0400-0000E322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9066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23</xdr:row>
      <xdr:rowOff>9525</xdr:rowOff>
    </xdr:from>
    <xdr:to>
      <xdr:col>16</xdr:col>
      <xdr:colOff>514350</xdr:colOff>
      <xdr:row>23</xdr:row>
      <xdr:rowOff>95250</xdr:rowOff>
    </xdr:to>
    <xdr:pic>
      <xdr:nvPicPr>
        <xdr:cNvPr id="205541" name="Grafik 29">
          <a:extLst>
            <a:ext uri="{FF2B5EF4-FFF2-40B4-BE49-F238E27FC236}">
              <a16:creationId xmlns:a16="http://schemas.microsoft.com/office/drawing/2014/main" id="{00000000-0008-0000-0400-0000E5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0191750"/>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26</xdr:row>
      <xdr:rowOff>9525</xdr:rowOff>
    </xdr:from>
    <xdr:to>
      <xdr:col>16</xdr:col>
      <xdr:colOff>514350</xdr:colOff>
      <xdr:row>26</xdr:row>
      <xdr:rowOff>95250</xdr:rowOff>
    </xdr:to>
    <xdr:pic>
      <xdr:nvPicPr>
        <xdr:cNvPr id="205542" name="Grafik 29">
          <a:extLst>
            <a:ext uri="{FF2B5EF4-FFF2-40B4-BE49-F238E27FC236}">
              <a16:creationId xmlns:a16="http://schemas.microsoft.com/office/drawing/2014/main" id="{00000000-0008-0000-0400-0000E6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114776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61</xdr:row>
      <xdr:rowOff>9525</xdr:rowOff>
    </xdr:from>
    <xdr:to>
      <xdr:col>16</xdr:col>
      <xdr:colOff>514350</xdr:colOff>
      <xdr:row>61</xdr:row>
      <xdr:rowOff>95250</xdr:rowOff>
    </xdr:to>
    <xdr:pic>
      <xdr:nvPicPr>
        <xdr:cNvPr id="205543" name="Grafik 29">
          <a:extLst>
            <a:ext uri="{FF2B5EF4-FFF2-40B4-BE49-F238E27FC236}">
              <a16:creationId xmlns:a16="http://schemas.microsoft.com/office/drawing/2014/main" id="{00000000-0008-0000-0400-0000E72203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685097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41</xdr:row>
      <xdr:rowOff>9525</xdr:rowOff>
    </xdr:from>
    <xdr:to>
      <xdr:col>16</xdr:col>
      <xdr:colOff>514350</xdr:colOff>
      <xdr:row>41</xdr:row>
      <xdr:rowOff>114300</xdr:rowOff>
    </xdr:to>
    <xdr:pic>
      <xdr:nvPicPr>
        <xdr:cNvPr id="31" name="Grafik 11">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6659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64</xdr:row>
      <xdr:rowOff>9525</xdr:rowOff>
    </xdr:from>
    <xdr:to>
      <xdr:col>17</xdr:col>
      <xdr:colOff>0</xdr:colOff>
      <xdr:row>64</xdr:row>
      <xdr:rowOff>114300</xdr:rowOff>
    </xdr:to>
    <xdr:pic>
      <xdr:nvPicPr>
        <xdr:cNvPr id="33" name="Grafik 20">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01100" y="281654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400050</xdr:colOff>
      <xdr:row>49</xdr:row>
      <xdr:rowOff>9525</xdr:rowOff>
    </xdr:from>
    <xdr:to>
      <xdr:col>16</xdr:col>
      <xdr:colOff>514350</xdr:colOff>
      <xdr:row>49</xdr:row>
      <xdr:rowOff>95250</xdr:rowOff>
    </xdr:to>
    <xdr:pic>
      <xdr:nvPicPr>
        <xdr:cNvPr id="37" name="Grafik 29">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72525" y="20164425"/>
          <a:ext cx="114300"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35</xdr:row>
      <xdr:rowOff>9525</xdr:rowOff>
    </xdr:from>
    <xdr:ext cx="104775" cy="104775"/>
    <xdr:pic>
      <xdr:nvPicPr>
        <xdr:cNvPr id="36" name="Grafik 11">
          <a:extLst>
            <a:ext uri="{FF2B5EF4-FFF2-40B4-BE49-F238E27FC236}">
              <a16:creationId xmlns:a16="http://schemas.microsoft.com/office/drawing/2014/main" id="{00000000-0008-0000-04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82050" y="140017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19</xdr:row>
      <xdr:rowOff>9525</xdr:rowOff>
    </xdr:from>
    <xdr:to>
      <xdr:col>16</xdr:col>
      <xdr:colOff>514350</xdr:colOff>
      <xdr:row>19</xdr:row>
      <xdr:rowOff>114300</xdr:rowOff>
    </xdr:to>
    <xdr:pic>
      <xdr:nvPicPr>
        <xdr:cNvPr id="32" name="Grafik 12">
          <a:extLst>
            <a:ext uri="{FF2B5EF4-FFF2-40B4-BE49-F238E27FC236}">
              <a16:creationId xmlns:a16="http://schemas.microsoft.com/office/drawing/2014/main" id="{D0FC2550-627C-43F4-888F-4789C617BA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53475" y="88963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971550</xdr:colOff>
      <xdr:row>43</xdr:row>
      <xdr:rowOff>9525</xdr:rowOff>
    </xdr:from>
    <xdr:to>
      <xdr:col>4</xdr:col>
      <xdr:colOff>1076325</xdr:colOff>
      <xdr:row>43</xdr:row>
      <xdr:rowOff>114300</xdr:rowOff>
    </xdr:to>
    <xdr:pic>
      <xdr:nvPicPr>
        <xdr:cNvPr id="2" name="Grafik 11">
          <a:extLst>
            <a:ext uri="{FF2B5EF4-FFF2-40B4-BE49-F238E27FC236}">
              <a16:creationId xmlns:a16="http://schemas.microsoft.com/office/drawing/2014/main" id="{33901566-AFC5-40D2-9E15-553C032550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1175" y="16344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638175</xdr:colOff>
      <xdr:row>43</xdr:row>
      <xdr:rowOff>9525</xdr:rowOff>
    </xdr:from>
    <xdr:to>
      <xdr:col>8</xdr:col>
      <xdr:colOff>742950</xdr:colOff>
      <xdr:row>43</xdr:row>
      <xdr:rowOff>114300</xdr:rowOff>
    </xdr:to>
    <xdr:pic>
      <xdr:nvPicPr>
        <xdr:cNvPr id="3" name="Grafik 11">
          <a:extLst>
            <a:ext uri="{FF2B5EF4-FFF2-40B4-BE49-F238E27FC236}">
              <a16:creationId xmlns:a16="http://schemas.microsoft.com/office/drawing/2014/main" id="{7804E0DD-00AF-4092-9766-3D9DC0FE05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91100" y="15878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91</xdr:row>
      <xdr:rowOff>9525</xdr:rowOff>
    </xdr:from>
    <xdr:to>
      <xdr:col>16</xdr:col>
      <xdr:colOff>514350</xdr:colOff>
      <xdr:row>91</xdr:row>
      <xdr:rowOff>114300</xdr:rowOff>
    </xdr:to>
    <xdr:pic>
      <xdr:nvPicPr>
        <xdr:cNvPr id="4" name="Grafik 20">
          <a:extLst>
            <a:ext uri="{FF2B5EF4-FFF2-40B4-BE49-F238E27FC236}">
              <a16:creationId xmlns:a16="http://schemas.microsoft.com/office/drawing/2014/main" id="{CB464778-FA41-42A4-B975-1F6AD813A4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3856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92</xdr:row>
      <xdr:rowOff>9525</xdr:rowOff>
    </xdr:from>
    <xdr:to>
      <xdr:col>16</xdr:col>
      <xdr:colOff>514350</xdr:colOff>
      <xdr:row>92</xdr:row>
      <xdr:rowOff>114300</xdr:rowOff>
    </xdr:to>
    <xdr:pic>
      <xdr:nvPicPr>
        <xdr:cNvPr id="5" name="Grafik 20">
          <a:extLst>
            <a:ext uri="{FF2B5EF4-FFF2-40B4-BE49-F238E27FC236}">
              <a16:creationId xmlns:a16="http://schemas.microsoft.com/office/drawing/2014/main" id="{F5B96F74-EC81-4F47-B9A8-C2818CEE3D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78142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94</xdr:row>
      <xdr:rowOff>9525</xdr:rowOff>
    </xdr:from>
    <xdr:to>
      <xdr:col>16</xdr:col>
      <xdr:colOff>514350</xdr:colOff>
      <xdr:row>94</xdr:row>
      <xdr:rowOff>114300</xdr:rowOff>
    </xdr:to>
    <xdr:pic>
      <xdr:nvPicPr>
        <xdr:cNvPr id="6" name="Grafik 20">
          <a:extLst>
            <a:ext uri="{FF2B5EF4-FFF2-40B4-BE49-F238E27FC236}">
              <a16:creationId xmlns:a16="http://schemas.microsoft.com/office/drawing/2014/main" id="{4FC10C66-E8A5-4855-B6F8-98600F0688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86715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95</xdr:row>
      <xdr:rowOff>9525</xdr:rowOff>
    </xdr:from>
    <xdr:to>
      <xdr:col>16</xdr:col>
      <xdr:colOff>514350</xdr:colOff>
      <xdr:row>95</xdr:row>
      <xdr:rowOff>114300</xdr:rowOff>
    </xdr:to>
    <xdr:pic>
      <xdr:nvPicPr>
        <xdr:cNvPr id="7" name="Grafik 20">
          <a:extLst>
            <a:ext uri="{FF2B5EF4-FFF2-40B4-BE49-F238E27FC236}">
              <a16:creationId xmlns:a16="http://schemas.microsoft.com/office/drawing/2014/main" id="{6CC59CA8-69EF-41D5-B525-5C1513FFFC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39100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962025</xdr:colOff>
      <xdr:row>5</xdr:row>
      <xdr:rowOff>9525</xdr:rowOff>
    </xdr:from>
    <xdr:to>
      <xdr:col>4</xdr:col>
      <xdr:colOff>1076325</xdr:colOff>
      <xdr:row>5</xdr:row>
      <xdr:rowOff>114300</xdr:rowOff>
    </xdr:to>
    <xdr:pic>
      <xdr:nvPicPr>
        <xdr:cNvPr id="8" name="Grafik 5">
          <a:extLst>
            <a:ext uri="{FF2B5EF4-FFF2-40B4-BE49-F238E27FC236}">
              <a16:creationId xmlns:a16="http://schemas.microsoft.com/office/drawing/2014/main" id="{5A00A852-806E-47C2-966B-E0B1E67B3D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1650" y="8286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352425</xdr:colOff>
      <xdr:row>7</xdr:row>
      <xdr:rowOff>9525</xdr:rowOff>
    </xdr:from>
    <xdr:to>
      <xdr:col>6</xdr:col>
      <xdr:colOff>0</xdr:colOff>
      <xdr:row>7</xdr:row>
      <xdr:rowOff>104775</xdr:rowOff>
    </xdr:to>
    <xdr:pic>
      <xdr:nvPicPr>
        <xdr:cNvPr id="189372" name="Grafik 4">
          <a:extLst>
            <a:ext uri="{FF2B5EF4-FFF2-40B4-BE49-F238E27FC236}">
              <a16:creationId xmlns:a16="http://schemas.microsoft.com/office/drawing/2014/main" id="{00000000-0008-0000-0700-0000BC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514350</xdr:colOff>
      <xdr:row>1</xdr:row>
      <xdr:rowOff>114300</xdr:rowOff>
    </xdr:from>
    <xdr:to>
      <xdr:col>11</xdr:col>
      <xdr:colOff>1952625</xdr:colOff>
      <xdr:row>2</xdr:row>
      <xdr:rowOff>171450</xdr:rowOff>
    </xdr:to>
    <xdr:pic>
      <xdr:nvPicPr>
        <xdr:cNvPr id="189373" name="Grafik 1">
          <a:extLst>
            <a:ext uri="{FF2B5EF4-FFF2-40B4-BE49-F238E27FC236}">
              <a16:creationId xmlns:a16="http://schemas.microsoft.com/office/drawing/2014/main" id="{00000000-0008-0000-0700-0000BDE3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29550" y="1143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7</xdr:row>
      <xdr:rowOff>9525</xdr:rowOff>
    </xdr:from>
    <xdr:to>
      <xdr:col>11</xdr:col>
      <xdr:colOff>0</xdr:colOff>
      <xdr:row>7</xdr:row>
      <xdr:rowOff>104775</xdr:rowOff>
    </xdr:to>
    <xdr:pic>
      <xdr:nvPicPr>
        <xdr:cNvPr id="189374" name="Grafik 4">
          <a:extLst>
            <a:ext uri="{FF2B5EF4-FFF2-40B4-BE49-F238E27FC236}">
              <a16:creationId xmlns:a16="http://schemas.microsoft.com/office/drawing/2014/main" id="{00000000-0008-0000-0700-0000BE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0382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1962150</xdr:colOff>
      <xdr:row>5</xdr:row>
      <xdr:rowOff>9525</xdr:rowOff>
    </xdr:from>
    <xdr:to>
      <xdr:col>11</xdr:col>
      <xdr:colOff>0</xdr:colOff>
      <xdr:row>5</xdr:row>
      <xdr:rowOff>104775</xdr:rowOff>
    </xdr:to>
    <xdr:pic>
      <xdr:nvPicPr>
        <xdr:cNvPr id="189375" name="Grafik 4">
          <a:extLst>
            <a:ext uri="{FF2B5EF4-FFF2-40B4-BE49-F238E27FC236}">
              <a16:creationId xmlns:a16="http://schemas.microsoft.com/office/drawing/2014/main" id="{00000000-0008-0000-0700-0000BFE3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7620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600075</xdr:colOff>
      <xdr:row>5</xdr:row>
      <xdr:rowOff>9525</xdr:rowOff>
    </xdr:from>
    <xdr:to>
      <xdr:col>13</xdr:col>
      <xdr:colOff>0</xdr:colOff>
      <xdr:row>5</xdr:row>
      <xdr:rowOff>104775</xdr:rowOff>
    </xdr:to>
    <xdr:pic>
      <xdr:nvPicPr>
        <xdr:cNvPr id="200107" name="Grafik 2">
          <a:extLst>
            <a:ext uri="{FF2B5EF4-FFF2-40B4-BE49-F238E27FC236}">
              <a16:creationId xmlns:a16="http://schemas.microsoft.com/office/drawing/2014/main" id="{00000000-0008-0000-0900-0000AB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8858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600075</xdr:colOff>
      <xdr:row>7</xdr:row>
      <xdr:rowOff>9525</xdr:rowOff>
    </xdr:from>
    <xdr:to>
      <xdr:col>13</xdr:col>
      <xdr:colOff>0</xdr:colOff>
      <xdr:row>7</xdr:row>
      <xdr:rowOff>104775</xdr:rowOff>
    </xdr:to>
    <xdr:pic>
      <xdr:nvPicPr>
        <xdr:cNvPr id="200108" name="Grafik 3">
          <a:extLst>
            <a:ext uri="{FF2B5EF4-FFF2-40B4-BE49-F238E27FC236}">
              <a16:creationId xmlns:a16="http://schemas.microsoft.com/office/drawing/2014/main" id="{00000000-0008-0000-0900-0000AC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0" y="1162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895350</xdr:colOff>
      <xdr:row>7</xdr:row>
      <xdr:rowOff>9525</xdr:rowOff>
    </xdr:from>
    <xdr:to>
      <xdr:col>5</xdr:col>
      <xdr:colOff>0</xdr:colOff>
      <xdr:row>7</xdr:row>
      <xdr:rowOff>104775</xdr:rowOff>
    </xdr:to>
    <xdr:pic>
      <xdr:nvPicPr>
        <xdr:cNvPr id="200109" name="Grafik 4">
          <a:extLst>
            <a:ext uri="{FF2B5EF4-FFF2-40B4-BE49-F238E27FC236}">
              <a16:creationId xmlns:a16="http://schemas.microsoft.com/office/drawing/2014/main" id="{00000000-0008-0000-0900-0000AD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6050" y="11620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25</xdr:row>
      <xdr:rowOff>9525</xdr:rowOff>
    </xdr:from>
    <xdr:to>
      <xdr:col>6</xdr:col>
      <xdr:colOff>704850</xdr:colOff>
      <xdr:row>25</xdr:row>
      <xdr:rowOff>104775</xdr:rowOff>
    </xdr:to>
    <xdr:pic>
      <xdr:nvPicPr>
        <xdr:cNvPr id="200110" name="Grafik 2">
          <a:extLst>
            <a:ext uri="{FF2B5EF4-FFF2-40B4-BE49-F238E27FC236}">
              <a16:creationId xmlns:a16="http://schemas.microsoft.com/office/drawing/2014/main" id="{00000000-0008-0000-0900-0000AE0D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0" y="63436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200025</xdr:colOff>
      <xdr:row>0</xdr:row>
      <xdr:rowOff>104775</xdr:rowOff>
    </xdr:from>
    <xdr:to>
      <xdr:col>13</xdr:col>
      <xdr:colOff>66675</xdr:colOff>
      <xdr:row>3</xdr:row>
      <xdr:rowOff>114300</xdr:rowOff>
    </xdr:to>
    <xdr:pic>
      <xdr:nvPicPr>
        <xdr:cNvPr id="200111" name="Grafik 1">
          <a:extLst>
            <a:ext uri="{FF2B5EF4-FFF2-40B4-BE49-F238E27FC236}">
              <a16:creationId xmlns:a16="http://schemas.microsoft.com/office/drawing/2014/main" id="{00000000-0008-0000-0900-0000AF0D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8375" y="104775"/>
          <a:ext cx="12954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1876425</xdr:colOff>
      <xdr:row>7</xdr:row>
      <xdr:rowOff>9525</xdr:rowOff>
    </xdr:from>
    <xdr:to>
      <xdr:col>3</xdr:col>
      <xdr:colOff>0</xdr:colOff>
      <xdr:row>7</xdr:row>
      <xdr:rowOff>104775</xdr:rowOff>
    </xdr:to>
    <xdr:pic>
      <xdr:nvPicPr>
        <xdr:cNvPr id="201131" name="Grafik 5">
          <a:extLst>
            <a:ext uri="{FF2B5EF4-FFF2-40B4-BE49-F238E27FC236}">
              <a16:creationId xmlns:a16="http://schemas.microsoft.com/office/drawing/2014/main" id="{00000000-0008-0000-0E00-0000AB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3700"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1866900</xdr:colOff>
      <xdr:row>13</xdr:row>
      <xdr:rowOff>9525</xdr:rowOff>
    </xdr:from>
    <xdr:to>
      <xdr:col>3</xdr:col>
      <xdr:colOff>0</xdr:colOff>
      <xdr:row>13</xdr:row>
      <xdr:rowOff>104775</xdr:rowOff>
    </xdr:to>
    <xdr:pic>
      <xdr:nvPicPr>
        <xdr:cNvPr id="201132" name="Grafik 4">
          <a:extLst>
            <a:ext uri="{FF2B5EF4-FFF2-40B4-BE49-F238E27FC236}">
              <a16:creationId xmlns:a16="http://schemas.microsoft.com/office/drawing/2014/main" id="{00000000-0008-0000-0E00-0000AC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4175" y="19621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201133" name="Grafik 5">
          <a:extLst>
            <a:ext uri="{FF2B5EF4-FFF2-40B4-BE49-F238E27FC236}">
              <a16:creationId xmlns:a16="http://schemas.microsoft.com/office/drawing/2014/main" id="{00000000-0008-0000-0E00-0000AD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7334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201134" name="Grafik 5">
          <a:extLst>
            <a:ext uri="{FF2B5EF4-FFF2-40B4-BE49-F238E27FC236}">
              <a16:creationId xmlns:a16="http://schemas.microsoft.com/office/drawing/2014/main" id="{00000000-0008-0000-0E00-0000AE1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34425" y="98107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419100</xdr:colOff>
      <xdr:row>1</xdr:row>
      <xdr:rowOff>57150</xdr:rowOff>
    </xdr:from>
    <xdr:to>
      <xdr:col>7</xdr:col>
      <xdr:colOff>457200</xdr:colOff>
      <xdr:row>2</xdr:row>
      <xdr:rowOff>180975</xdr:rowOff>
    </xdr:to>
    <xdr:pic>
      <xdr:nvPicPr>
        <xdr:cNvPr id="201135" name="Grafik 1">
          <a:extLst>
            <a:ext uri="{FF2B5EF4-FFF2-40B4-BE49-F238E27FC236}">
              <a16:creationId xmlns:a16="http://schemas.microsoft.com/office/drawing/2014/main" id="{00000000-0008-0000-0E00-0000AF11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48600" y="152400"/>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27:S48" totalsRowShown="0" headerRowDxfId="206" dataDxfId="205">
  <autoFilter ref="A27:S48" xr:uid="{00000000-0009-0000-0100-000001000000}"/>
  <tableColumns count="19">
    <tableColumn id="1" xr3:uid="{00000000-0010-0000-0000-000001000000}" name="Baden-Württemberg" dataDxfId="204" dataCellStyle="Standard_Werte"/>
    <tableColumn id="2" xr3:uid="{00000000-0010-0000-0000-000002000000}" name="Bayern" dataDxfId="203"/>
    <tableColumn id="3" xr3:uid="{00000000-0010-0000-0000-000003000000}" name="Berlin" dataDxfId="202"/>
    <tableColumn id="4" xr3:uid="{00000000-0010-0000-0000-000004000000}" name="Brandenburg" dataDxfId="201"/>
    <tableColumn id="5" xr3:uid="{00000000-0010-0000-0000-000005000000}" name="Bremen" dataDxfId="200"/>
    <tableColumn id="6" xr3:uid="{00000000-0010-0000-0000-000006000000}" name="Hamburg" dataDxfId="199"/>
    <tableColumn id="7" xr3:uid="{00000000-0010-0000-0000-000007000000}" name="Hessen" dataDxfId="198"/>
    <tableColumn id="8" xr3:uid="{00000000-0010-0000-0000-000008000000}" name="Mecklenburg-Vorpommern" dataDxfId="197"/>
    <tableColumn id="9" xr3:uid="{00000000-0010-0000-0000-000009000000}" name="Niedersachsen" dataDxfId="196"/>
    <tableColumn id="10" xr3:uid="{00000000-0010-0000-0000-00000A000000}" name="Nordrhein-Westfalen" dataDxfId="195"/>
    <tableColumn id="11" xr3:uid="{00000000-0010-0000-0000-00000B000000}" name="Rheinland-Pfalz" dataDxfId="194"/>
    <tableColumn id="12" xr3:uid="{00000000-0010-0000-0000-00000C000000}" name="Saarland" dataDxfId="193"/>
    <tableColumn id="13" xr3:uid="{00000000-0010-0000-0000-00000D000000}" name="Sachsen" dataDxfId="192"/>
    <tableColumn id="14" xr3:uid="{00000000-0010-0000-0000-00000E000000}" name="Sachsen-Anhalt" dataDxfId="191"/>
    <tableColumn id="15" xr3:uid="{00000000-0010-0000-0000-00000F000000}" name="Schleswig-Holstein" dataDxfId="190"/>
    <tableColumn id="16" xr3:uid="{00000000-0010-0000-0000-000010000000}" name="Thüringen" dataDxfId="189"/>
    <tableColumn id="17" xr3:uid="{00000000-0010-0000-0000-000011000000}" name="Schweiz" dataDxfId="188"/>
    <tableColumn id="18" xr3:uid="{00000000-0010-0000-0000-000012000000}" name="Österreich" dataDxfId="187"/>
    <tableColumn id="19" xr3:uid="{00000000-0010-0000-0000-000013000000}" name="Italien" dataDxfId="18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5.xml"/><Relationship Id="rId4"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7.xml"/><Relationship Id="rId5" Type="http://schemas.openxmlformats.org/officeDocument/2006/relationships/vmlDrawing" Target="../drawings/vmlDrawing9.vml"/><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8.xml"/><Relationship Id="rId5" Type="http://schemas.openxmlformats.org/officeDocument/2006/relationships/vmlDrawing" Target="../drawings/vmlDrawing10.vm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Q81"/>
  <sheetViews>
    <sheetView showGridLines="0" tabSelected="1" zoomScaleNormal="100" zoomScaleSheetLayoutView="75" zoomScalePageLayoutView="69" workbookViewId="0">
      <selection activeCell="C12" sqref="C12:E12"/>
    </sheetView>
  </sheetViews>
  <sheetFormatPr defaultColWidth="11.42578125" defaultRowHeight="14.25" x14ac:dyDescent="0.2"/>
  <cols>
    <col min="1" max="1" width="0.85546875" style="420" customWidth="1"/>
    <col min="2" max="2" width="15.85546875" style="420" customWidth="1"/>
    <col min="3" max="3" width="19.42578125" style="420" customWidth="1"/>
    <col min="4" max="4" width="7" style="420" customWidth="1"/>
    <col min="5" max="12" width="6.7109375" style="420" customWidth="1"/>
    <col min="13" max="13" width="7.28515625" style="420" customWidth="1"/>
    <col min="14" max="14" width="6.7109375" style="420" customWidth="1"/>
    <col min="15" max="15" width="7.7109375" style="420" customWidth="1"/>
    <col min="16" max="16384" width="11.42578125" style="420"/>
  </cols>
  <sheetData>
    <row r="1" spans="1:17" ht="9.9499999999999993" customHeight="1" x14ac:dyDescent="0.25">
      <c r="A1" s="419"/>
    </row>
    <row r="2" spans="1:17" ht="12.95" customHeight="1" x14ac:dyDescent="0.2">
      <c r="A2" s="421"/>
      <c r="B2" s="504" t="s">
        <v>1168</v>
      </c>
    </row>
    <row r="3" spans="1:17" ht="16.5" x14ac:dyDescent="0.25">
      <c r="A3" s="422"/>
      <c r="B3" s="423" t="s">
        <v>287</v>
      </c>
    </row>
    <row r="4" spans="1:17" ht="12.75" customHeight="1" x14ac:dyDescent="0.25">
      <c r="A4" s="424"/>
      <c r="B4" s="609"/>
      <c r="C4" s="609"/>
      <c r="D4" s="609"/>
      <c r="E4" s="609"/>
      <c r="F4" s="609"/>
      <c r="G4" s="609"/>
      <c r="H4" s="609"/>
      <c r="I4" s="609"/>
      <c r="J4" s="609"/>
      <c r="K4" s="609"/>
      <c r="L4" s="609"/>
      <c r="M4" s="609"/>
      <c r="N4" s="609"/>
      <c r="O4" s="609"/>
      <c r="Q4" s="425"/>
    </row>
    <row r="5" spans="1:17" ht="15" customHeight="1" x14ac:dyDescent="0.2">
      <c r="E5" s="426"/>
      <c r="F5" s="426"/>
      <c r="G5" s="426"/>
      <c r="H5" s="426"/>
      <c r="I5" s="426"/>
      <c r="J5" s="426"/>
      <c r="K5" s="426"/>
      <c r="L5" s="426"/>
      <c r="M5" s="426"/>
      <c r="N5" s="426"/>
      <c r="O5" s="426"/>
      <c r="P5" s="426"/>
      <c r="Q5" s="425"/>
    </row>
    <row r="6" spans="1:17" ht="14.25" customHeight="1" x14ac:dyDescent="0.2">
      <c r="A6" s="421"/>
      <c r="B6" s="427" t="s">
        <v>83</v>
      </c>
      <c r="C6" s="682"/>
      <c r="D6" s="683"/>
      <c r="E6" s="684"/>
      <c r="F6" s="428"/>
      <c r="G6" s="428"/>
      <c r="M6" s="679"/>
      <c r="N6" s="679"/>
      <c r="O6" s="679"/>
    </row>
    <row r="7" spans="1:17" ht="5.0999999999999996" customHeight="1" x14ac:dyDescent="0.2">
      <c r="A7" s="421"/>
      <c r="B7" s="429"/>
      <c r="C7" s="421"/>
      <c r="D7" s="421"/>
      <c r="E7" s="430"/>
      <c r="F7" s="430"/>
      <c r="G7" s="430"/>
      <c r="H7" s="430"/>
      <c r="I7" s="430"/>
      <c r="J7" s="430"/>
      <c r="K7" s="430"/>
      <c r="L7" s="430"/>
      <c r="M7" s="430"/>
      <c r="N7" s="430"/>
      <c r="O7" s="430"/>
    </row>
    <row r="8" spans="1:17" s="421" customFormat="1" ht="14.25" customHeight="1" x14ac:dyDescent="0.2">
      <c r="B8" s="427" t="s">
        <v>138</v>
      </c>
      <c r="C8" s="680" t="str">
        <f>IF($C$6="","",Datenquelle!B68)</f>
        <v/>
      </c>
      <c r="D8" s="680"/>
      <c r="E8" s="681"/>
      <c r="F8" s="681"/>
      <c r="G8" s="681"/>
      <c r="H8" s="681"/>
      <c r="I8" s="681"/>
      <c r="J8" s="681"/>
      <c r="K8" s="681"/>
      <c r="L8" s="681"/>
      <c r="M8" s="681"/>
      <c r="N8" s="681"/>
      <c r="O8" s="681"/>
    </row>
    <row r="9" spans="1:17" s="421" customFormat="1" ht="5.0999999999999996" customHeight="1" x14ac:dyDescent="0.2">
      <c r="B9" s="431"/>
      <c r="C9" s="430"/>
      <c r="D9" s="430"/>
      <c r="E9" s="430"/>
      <c r="F9" s="430"/>
      <c r="G9" s="430"/>
      <c r="H9" s="430"/>
      <c r="I9" s="430"/>
      <c r="J9" s="430"/>
      <c r="K9" s="430"/>
    </row>
    <row r="10" spans="1:17" s="421" customFormat="1" ht="14.25" customHeight="1" x14ac:dyDescent="0.2">
      <c r="B10" s="427" t="s">
        <v>139</v>
      </c>
      <c r="C10" s="680" t="str">
        <f>IF($C$6="","",Datenquelle!C68)</f>
        <v/>
      </c>
      <c r="D10" s="680"/>
      <c r="E10" s="681"/>
      <c r="F10" s="681"/>
      <c r="G10" s="681"/>
      <c r="H10" s="681"/>
      <c r="I10" s="681"/>
      <c r="J10" s="681"/>
      <c r="K10" s="681"/>
      <c r="L10" s="681"/>
      <c r="M10" s="681"/>
      <c r="N10" s="681"/>
      <c r="O10" s="681"/>
    </row>
    <row r="11" spans="1:17" s="421" customFormat="1" ht="5.0999999999999996" customHeight="1" x14ac:dyDescent="0.2">
      <c r="B11" s="431"/>
      <c r="C11" s="430"/>
      <c r="D11" s="430"/>
      <c r="E11" s="430"/>
      <c r="F11" s="430"/>
      <c r="G11" s="430"/>
      <c r="H11" s="430"/>
      <c r="I11" s="430"/>
      <c r="J11" s="430"/>
      <c r="K11" s="430"/>
    </row>
    <row r="12" spans="1:17" s="421" customFormat="1" ht="14.25" customHeight="1" x14ac:dyDescent="0.2">
      <c r="B12" s="553" t="s">
        <v>888</v>
      </c>
      <c r="C12" s="604"/>
      <c r="D12" s="605"/>
      <c r="E12" s="606"/>
      <c r="F12" s="433"/>
      <c r="G12" s="433"/>
      <c r="I12" s="432" t="s">
        <v>80</v>
      </c>
      <c r="J12" s="432"/>
      <c r="K12" s="432"/>
      <c r="L12" s="434"/>
      <c r="M12" s="685"/>
      <c r="N12" s="686"/>
      <c r="O12" s="687"/>
    </row>
    <row r="13" spans="1:17" s="421" customFormat="1" ht="5.0999999999999996" customHeight="1" x14ac:dyDescent="0.2">
      <c r="E13" s="430"/>
      <c r="F13" s="430"/>
      <c r="G13" s="430"/>
      <c r="I13" s="435"/>
      <c r="J13" s="427"/>
      <c r="K13" s="427"/>
      <c r="L13" s="427"/>
      <c r="M13" s="430"/>
      <c r="N13" s="430"/>
      <c r="O13" s="430"/>
    </row>
    <row r="14" spans="1:17" s="421" customFormat="1" ht="14.25" customHeight="1" x14ac:dyDescent="0.2">
      <c r="B14" s="553" t="s">
        <v>889</v>
      </c>
      <c r="C14" s="604"/>
      <c r="D14" s="605"/>
      <c r="E14" s="606"/>
      <c r="F14" s="473"/>
      <c r="G14" s="473"/>
      <c r="I14" s="427" t="s">
        <v>475</v>
      </c>
      <c r="J14" s="427"/>
      <c r="K14" s="427"/>
      <c r="L14" s="437"/>
      <c r="M14" s="614" t="str">
        <f>IF($C$6="","",Datenquelle!G68)</f>
        <v/>
      </c>
      <c r="N14" s="614"/>
      <c r="O14" s="614"/>
    </row>
    <row r="15" spans="1:17" ht="5.0999999999999996" customHeight="1" x14ac:dyDescent="0.2">
      <c r="I15" s="438"/>
      <c r="J15" s="432"/>
      <c r="K15" s="432"/>
      <c r="L15" s="432"/>
    </row>
    <row r="16" spans="1:17" s="421" customFormat="1" ht="14.25" customHeight="1" x14ac:dyDescent="0.2">
      <c r="B16" s="432" t="s">
        <v>396</v>
      </c>
      <c r="C16" s="604"/>
      <c r="D16" s="605"/>
      <c r="E16" s="606"/>
      <c r="F16" s="474"/>
      <c r="G16" s="474"/>
      <c r="I16" s="439" t="s">
        <v>528</v>
      </c>
      <c r="J16" s="439"/>
      <c r="K16" s="439"/>
      <c r="L16" s="440"/>
      <c r="M16" s="624">
        <v>2024</v>
      </c>
      <c r="N16" s="624"/>
      <c r="O16" s="624"/>
    </row>
    <row r="17" spans="2:17" s="421" customFormat="1" ht="6.75" customHeight="1" x14ac:dyDescent="0.2">
      <c r="B17" s="435"/>
      <c r="H17" s="441"/>
      <c r="I17" s="441"/>
      <c r="J17" s="441"/>
      <c r="K17" s="441"/>
      <c r="M17" s="442"/>
      <c r="N17" s="442"/>
      <c r="O17" s="442"/>
    </row>
    <row r="18" spans="2:17" s="421" customFormat="1" ht="6.75" customHeight="1" x14ac:dyDescent="0.2">
      <c r="H18" s="427"/>
      <c r="I18" s="613"/>
      <c r="J18" s="613"/>
      <c r="K18" s="613"/>
      <c r="L18" s="613"/>
      <c r="M18" s="613"/>
      <c r="N18" s="613"/>
      <c r="O18" s="613"/>
    </row>
    <row r="19" spans="2:17" s="421" customFormat="1" ht="6.75" customHeight="1" x14ac:dyDescent="0.2">
      <c r="H19" s="427"/>
      <c r="I19" s="612"/>
      <c r="J19" s="612"/>
      <c r="K19" s="612"/>
      <c r="L19" s="612"/>
      <c r="M19" s="612"/>
      <c r="N19" s="612"/>
      <c r="O19" s="612"/>
    </row>
    <row r="20" spans="2:17" s="421" customFormat="1" ht="6.75" customHeight="1" x14ac:dyDescent="0.2">
      <c r="B20" s="427"/>
      <c r="C20" s="429"/>
      <c r="D20" s="429"/>
      <c r="E20" s="429"/>
      <c r="F20" s="429"/>
      <c r="G20" s="429"/>
      <c r="H20" s="443"/>
      <c r="I20" s="443"/>
      <c r="J20" s="443"/>
      <c r="K20" s="443"/>
      <c r="L20" s="429"/>
      <c r="M20" s="444"/>
      <c r="N20" s="444"/>
      <c r="O20" s="444"/>
    </row>
    <row r="21" spans="2:17" s="421" customFormat="1" ht="14.25" customHeight="1" x14ac:dyDescent="0.2">
      <c r="B21" s="649" t="s">
        <v>392</v>
      </c>
      <c r="C21" s="649"/>
      <c r="D21" s="649"/>
      <c r="E21" s="650" t="s">
        <v>839</v>
      </c>
      <c r="F21" s="651"/>
      <c r="G21" s="651"/>
      <c r="H21" s="651"/>
      <c r="I21" s="651"/>
      <c r="J21" s="651"/>
      <c r="K21" s="651"/>
      <c r="L21" s="651"/>
      <c r="M21" s="651"/>
      <c r="N21" s="651"/>
      <c r="O21" s="652"/>
    </row>
    <row r="22" spans="2:17" s="421" customFormat="1" ht="22.5" customHeight="1" x14ac:dyDescent="0.2">
      <c r="B22" s="649" t="str">
        <f>IF(C6="","",Datenquelle!F68)</f>
        <v/>
      </c>
      <c r="C22" s="649"/>
      <c r="D22" s="649"/>
      <c r="E22" s="653"/>
      <c r="F22" s="653"/>
      <c r="G22" s="653"/>
      <c r="H22" s="653"/>
      <c r="I22" s="653"/>
      <c r="J22" s="653"/>
      <c r="K22" s="653"/>
      <c r="L22" s="653"/>
      <c r="M22" s="653"/>
      <c r="N22" s="653"/>
      <c r="O22" s="653"/>
    </row>
    <row r="23" spans="2:17" s="421" customFormat="1" ht="6.95" customHeight="1" x14ac:dyDescent="0.2">
      <c r="B23" s="431"/>
      <c r="C23" s="431"/>
      <c r="D23" s="431"/>
      <c r="E23" s="431"/>
      <c r="F23" s="431"/>
      <c r="G23" s="431"/>
      <c r="H23" s="431"/>
      <c r="I23" s="431"/>
      <c r="J23" s="431"/>
      <c r="K23" s="431"/>
      <c r="L23" s="431"/>
      <c r="M23" s="429"/>
      <c r="N23" s="429"/>
      <c r="O23" s="429"/>
    </row>
    <row r="24" spans="2:17" s="421" customFormat="1" ht="14.25" customHeight="1" x14ac:dyDescent="0.2">
      <c r="B24" s="643" t="s">
        <v>485</v>
      </c>
      <c r="C24" s="644"/>
      <c r="D24" s="645"/>
      <c r="E24" s="623" t="s">
        <v>22</v>
      </c>
      <c r="F24" s="623"/>
      <c r="G24" s="623"/>
      <c r="H24" s="623"/>
      <c r="I24" s="623"/>
      <c r="J24" s="623"/>
      <c r="K24" s="623"/>
      <c r="L24" s="623"/>
      <c r="M24" s="623"/>
      <c r="N24" s="623"/>
      <c r="O24" s="623"/>
      <c r="Q24" s="441"/>
    </row>
    <row r="25" spans="2:17" s="421" customFormat="1" ht="22.5" customHeight="1" x14ac:dyDescent="0.2">
      <c r="B25" s="646" t="s">
        <v>446</v>
      </c>
      <c r="C25" s="647"/>
      <c r="D25" s="648"/>
      <c r="E25" s="641"/>
      <c r="F25" s="642"/>
      <c r="G25" s="642"/>
      <c r="H25" s="642"/>
      <c r="I25" s="642"/>
      <c r="J25" s="642"/>
      <c r="K25" s="642"/>
      <c r="L25" s="642"/>
      <c r="M25" s="642"/>
      <c r="N25" s="642"/>
      <c r="O25" s="642"/>
      <c r="Q25" s="441"/>
    </row>
    <row r="26" spans="2:17" s="421" customFormat="1" ht="16.5" customHeight="1" x14ac:dyDescent="0.2">
      <c r="B26" s="637"/>
      <c r="C26" s="638"/>
      <c r="D26" s="638"/>
      <c r="E26" s="639"/>
      <c r="F26" s="639"/>
      <c r="G26" s="639"/>
      <c r="H26" s="639"/>
      <c r="I26" s="639"/>
      <c r="J26" s="639"/>
      <c r="K26" s="639"/>
      <c r="L26" s="639"/>
      <c r="M26" s="639"/>
      <c r="N26" s="639"/>
      <c r="O26" s="639"/>
      <c r="Q26" s="441"/>
    </row>
    <row r="27" spans="2:17" s="421" customFormat="1" ht="8.25" customHeight="1" thickBot="1" x14ac:dyDescent="0.25">
      <c r="B27" s="640"/>
      <c r="C27" s="640"/>
      <c r="D27" s="640"/>
      <c r="E27" s="640"/>
      <c r="F27" s="640"/>
      <c r="G27" s="640"/>
      <c r="H27" s="640"/>
      <c r="I27" s="640"/>
      <c r="J27" s="640"/>
      <c r="K27" s="640"/>
      <c r="L27" s="640"/>
      <c r="M27" s="640"/>
      <c r="N27" s="640"/>
      <c r="O27" s="640"/>
    </row>
    <row r="28" spans="2:17" s="421" customFormat="1" ht="23.1" customHeight="1" x14ac:dyDescent="0.2">
      <c r="B28" s="674" t="s">
        <v>731</v>
      </c>
      <c r="C28" s="675"/>
      <c r="D28" s="675" t="s">
        <v>615</v>
      </c>
      <c r="E28" s="675"/>
      <c r="F28" s="675" t="s">
        <v>616</v>
      </c>
      <c r="G28" s="675"/>
      <c r="H28" s="675"/>
      <c r="I28" s="675"/>
      <c r="J28" s="675"/>
      <c r="K28" s="675"/>
      <c r="L28" s="675"/>
      <c r="M28" s="675"/>
      <c r="N28" s="675"/>
      <c r="O28" s="631" t="s">
        <v>516</v>
      </c>
    </row>
    <row r="29" spans="2:17" s="421" customFormat="1" ht="23.1" customHeight="1" x14ac:dyDescent="0.2">
      <c r="B29" s="676"/>
      <c r="C29" s="636"/>
      <c r="D29" s="636"/>
      <c r="E29" s="636"/>
      <c r="F29" s="636" t="s">
        <v>513</v>
      </c>
      <c r="G29" s="636"/>
      <c r="H29" s="636"/>
      <c r="I29" s="636"/>
      <c r="J29" s="636"/>
      <c r="K29" s="636"/>
      <c r="L29" s="636"/>
      <c r="M29" s="656" t="s">
        <v>617</v>
      </c>
      <c r="N29" s="658" t="s">
        <v>618</v>
      </c>
      <c r="O29" s="632"/>
    </row>
    <row r="30" spans="2:17" s="421" customFormat="1" ht="90" customHeight="1" x14ac:dyDescent="0.2">
      <c r="B30" s="676"/>
      <c r="C30" s="636"/>
      <c r="D30" s="445" t="s">
        <v>514</v>
      </c>
      <c r="E30" s="445" t="s">
        <v>515</v>
      </c>
      <c r="F30" s="445" t="s">
        <v>517</v>
      </c>
      <c r="G30" s="493" t="s">
        <v>630</v>
      </c>
      <c r="H30" s="445" t="s">
        <v>557</v>
      </c>
      <c r="I30" s="445" t="s">
        <v>518</v>
      </c>
      <c r="J30" s="445" t="s">
        <v>519</v>
      </c>
      <c r="K30" s="445" t="s">
        <v>520</v>
      </c>
      <c r="L30" s="445" t="s">
        <v>619</v>
      </c>
      <c r="M30" s="657"/>
      <c r="N30" s="658"/>
      <c r="O30" s="633"/>
    </row>
    <row r="31" spans="2:17" s="421" customFormat="1" ht="6.95" customHeight="1" thickBot="1" x14ac:dyDescent="0.25">
      <c r="B31" s="446"/>
      <c r="C31" s="446"/>
      <c r="D31" s="447"/>
      <c r="E31" s="447"/>
      <c r="F31" s="447"/>
      <c r="G31" s="447"/>
      <c r="H31" s="448"/>
      <c r="I31" s="448"/>
      <c r="J31" s="447"/>
      <c r="K31" s="447"/>
      <c r="L31" s="447"/>
      <c r="M31" s="449"/>
      <c r="N31" s="449"/>
      <c r="O31" s="450"/>
    </row>
    <row r="32" spans="2:17" s="421" customFormat="1" ht="18.95" customHeight="1" thickBot="1" x14ac:dyDescent="0.25">
      <c r="B32" s="619" t="s">
        <v>620</v>
      </c>
      <c r="C32" s="619"/>
      <c r="D32" s="620"/>
      <c r="E32" s="620"/>
      <c r="F32" s="620"/>
      <c r="G32" s="620"/>
      <c r="H32" s="620"/>
      <c r="I32" s="620"/>
      <c r="J32" s="620"/>
      <c r="K32" s="620"/>
      <c r="L32" s="620"/>
      <c r="M32" s="620"/>
      <c r="N32" s="620"/>
      <c r="O32" s="619"/>
    </row>
    <row r="33" spans="2:17" s="421" customFormat="1" ht="18.95" customHeight="1" x14ac:dyDescent="0.2">
      <c r="B33" s="661" t="s">
        <v>421</v>
      </c>
      <c r="C33" s="451" t="s">
        <v>621</v>
      </c>
      <c r="D33" s="452"/>
      <c r="E33" s="452"/>
      <c r="F33" s="452"/>
      <c r="G33" s="452"/>
      <c r="H33" s="452"/>
      <c r="I33" s="452"/>
      <c r="J33" s="452"/>
      <c r="K33" s="452"/>
      <c r="L33" s="452"/>
      <c r="M33" s="452"/>
      <c r="N33" s="452"/>
      <c r="O33" s="453" t="str">
        <f>IF(AND(D33="",E33="",F33="",G33="",H33="",I33="",J33="",K33="",L33="",M33="",N33=""),"",SUM(D33:N33))</f>
        <v/>
      </c>
    </row>
    <row r="34" spans="2:17" s="421" customFormat="1" ht="18.95" customHeight="1" x14ac:dyDescent="0.2">
      <c r="B34" s="662"/>
      <c r="C34" s="454" t="s">
        <v>622</v>
      </c>
      <c r="D34" s="455"/>
      <c r="E34" s="455"/>
      <c r="F34" s="455"/>
      <c r="G34" s="455"/>
      <c r="H34" s="455"/>
      <c r="I34" s="455"/>
      <c r="J34" s="455"/>
      <c r="K34" s="455"/>
      <c r="L34" s="455"/>
      <c r="M34" s="455"/>
      <c r="N34" s="455"/>
      <c r="O34" s="456" t="str">
        <f t="shared" ref="O34:O39" si="0">IF(AND(D34="",E34="",F34="",G34="",H34="",I34="",J34="",K34="",L34="",M34="",N34=""),"",SUM(D34:N34))</f>
        <v/>
      </c>
    </row>
    <row r="35" spans="2:17" s="421" customFormat="1" ht="18.95" customHeight="1" x14ac:dyDescent="0.2">
      <c r="B35" s="662"/>
      <c r="C35" s="454" t="s">
        <v>623</v>
      </c>
      <c r="D35" s="455"/>
      <c r="E35" s="455"/>
      <c r="F35" s="455"/>
      <c r="G35" s="455"/>
      <c r="H35" s="455"/>
      <c r="I35" s="455"/>
      <c r="J35" s="455"/>
      <c r="K35" s="455"/>
      <c r="L35" s="455"/>
      <c r="M35" s="455"/>
      <c r="N35" s="455"/>
      <c r="O35" s="456" t="str">
        <f t="shared" si="0"/>
        <v/>
      </c>
    </row>
    <row r="36" spans="2:17" s="421" customFormat="1" ht="18.95" customHeight="1" x14ac:dyDescent="0.2">
      <c r="B36" s="621" t="s">
        <v>521</v>
      </c>
      <c r="C36" s="622"/>
      <c r="D36" s="528"/>
      <c r="E36" s="455"/>
      <c r="F36" s="455"/>
      <c r="G36" s="455"/>
      <c r="H36" s="455"/>
      <c r="I36" s="455"/>
      <c r="J36" s="455"/>
      <c r="K36" s="455"/>
      <c r="L36" s="455"/>
      <c r="M36" s="455"/>
      <c r="N36" s="455"/>
      <c r="O36" s="456" t="str">
        <f t="shared" si="0"/>
        <v/>
      </c>
    </row>
    <row r="37" spans="2:17" s="421" customFormat="1" ht="18.95" customHeight="1" x14ac:dyDescent="0.2">
      <c r="B37" s="621" t="s">
        <v>503</v>
      </c>
      <c r="C37" s="622"/>
      <c r="D37" s="529"/>
      <c r="E37" s="455"/>
      <c r="F37" s="455"/>
      <c r="G37" s="455"/>
      <c r="H37" s="455"/>
      <c r="I37" s="455"/>
      <c r="J37" s="455"/>
      <c r="K37" s="455"/>
      <c r="L37" s="455"/>
      <c r="M37" s="455"/>
      <c r="N37" s="455"/>
      <c r="O37" s="456" t="str">
        <f t="shared" si="0"/>
        <v/>
      </c>
    </row>
    <row r="38" spans="2:17" s="421" customFormat="1" ht="18.95" customHeight="1" x14ac:dyDescent="0.2">
      <c r="B38" s="621" t="s">
        <v>504</v>
      </c>
      <c r="C38" s="622"/>
      <c r="D38" s="529"/>
      <c r="E38" s="455"/>
      <c r="F38" s="455"/>
      <c r="G38" s="455"/>
      <c r="H38" s="455"/>
      <c r="I38" s="455"/>
      <c r="J38" s="455"/>
      <c r="K38" s="455"/>
      <c r="L38" s="455"/>
      <c r="M38" s="455"/>
      <c r="N38" s="455"/>
      <c r="O38" s="456" t="str">
        <f>IF(AND(D38="",E38="",F38="",G38="",H38="",I38="",J38="",K38="",L38="",M38="",N38=""),"",SUM(D38:N38))</f>
        <v/>
      </c>
      <c r="Q38" s="457"/>
    </row>
    <row r="39" spans="2:17" s="421" customFormat="1" ht="18.95" customHeight="1" x14ac:dyDescent="0.2">
      <c r="B39" s="621" t="s">
        <v>624</v>
      </c>
      <c r="C39" s="622"/>
      <c r="D39" s="530"/>
      <c r="E39" s="455"/>
      <c r="F39" s="455"/>
      <c r="G39" s="455"/>
      <c r="H39" s="455"/>
      <c r="I39" s="455"/>
      <c r="J39" s="455"/>
      <c r="K39" s="455"/>
      <c r="L39" s="455"/>
      <c r="M39" s="455"/>
      <c r="N39" s="455"/>
      <c r="O39" s="456" t="str">
        <f t="shared" si="0"/>
        <v/>
      </c>
    </row>
    <row r="40" spans="2:17" s="421" customFormat="1" ht="18.95" customHeight="1" thickBot="1" x14ac:dyDescent="0.25">
      <c r="B40" s="693" t="s">
        <v>558</v>
      </c>
      <c r="C40" s="694"/>
      <c r="D40" s="458" t="str">
        <f>IF(AND(D33="",D34="",D35="",D36="",D37="",D38="",D39=""),"",SUM(D33:D39))</f>
        <v/>
      </c>
      <c r="E40" s="458" t="str">
        <f t="shared" ref="E40:M40" si="1">IF(AND(E33="",E34="",E35="",E36="",E37="",E38="",E39=""),"",SUM(E33:E39))</f>
        <v/>
      </c>
      <c r="F40" s="458" t="str">
        <f t="shared" si="1"/>
        <v/>
      </c>
      <c r="G40" s="458" t="str">
        <f t="shared" si="1"/>
        <v/>
      </c>
      <c r="H40" s="458" t="str">
        <f t="shared" si="1"/>
        <v/>
      </c>
      <c r="I40" s="458" t="str">
        <f t="shared" si="1"/>
        <v/>
      </c>
      <c r="J40" s="458" t="str">
        <f t="shared" si="1"/>
        <v/>
      </c>
      <c r="K40" s="458" t="str">
        <f t="shared" si="1"/>
        <v/>
      </c>
      <c r="L40" s="458" t="str">
        <f t="shared" si="1"/>
        <v/>
      </c>
      <c r="M40" s="458" t="str">
        <f t="shared" si="1"/>
        <v/>
      </c>
      <c r="N40" s="458" t="str">
        <f>IF(AND(N33="",N34="",N35="",N36="",N37="",N38="",N39=""),"",SUM(N33:N39))</f>
        <v/>
      </c>
      <c r="O40" s="459" t="str">
        <f>IF(AND(O33="",O34="",O35="",O36="",O37="",O38="",O39=""),"",SUM(O33:O39))</f>
        <v/>
      </c>
    </row>
    <row r="41" spans="2:17" s="421" customFormat="1" ht="6.95" customHeight="1" thickBot="1" x14ac:dyDescent="0.25">
      <c r="B41" s="460"/>
      <c r="C41" s="460"/>
      <c r="D41" s="436"/>
      <c r="E41" s="461"/>
      <c r="F41" s="461"/>
      <c r="G41" s="461"/>
      <c r="H41" s="461"/>
      <c r="I41" s="461"/>
      <c r="J41" s="461"/>
      <c r="K41" s="461"/>
      <c r="L41" s="461"/>
      <c r="M41" s="461"/>
      <c r="N41" s="461"/>
      <c r="O41" s="461"/>
    </row>
    <row r="42" spans="2:17" s="421" customFormat="1" ht="18.95" customHeight="1" thickBot="1" x14ac:dyDescent="0.25">
      <c r="B42" s="634" t="s">
        <v>522</v>
      </c>
      <c r="C42" s="635"/>
      <c r="D42" s="462"/>
      <c r="E42" s="463"/>
      <c r="F42" s="464"/>
      <c r="G42" s="464"/>
      <c r="H42" s="464"/>
      <c r="I42" s="464"/>
      <c r="J42" s="464"/>
      <c r="K42" s="464"/>
      <c r="L42" s="464"/>
      <c r="M42" s="464"/>
      <c r="N42" s="464"/>
      <c r="O42" s="465" t="str">
        <f>IF(AND(F42="",G42="",H42="",I42="",J42="",K42="",L42="",M42="",N42=""),"",SUM(F42:N42))</f>
        <v/>
      </c>
    </row>
    <row r="43" spans="2:17" s="421" customFormat="1" ht="12" customHeight="1" thickBot="1" x14ac:dyDescent="0.25">
      <c r="B43" s="466"/>
      <c r="C43" s="436"/>
      <c r="D43" s="436"/>
      <c r="E43" s="461"/>
      <c r="F43" s="461"/>
      <c r="G43" s="461"/>
      <c r="H43" s="461"/>
      <c r="I43" s="461"/>
      <c r="J43" s="461"/>
      <c r="K43" s="461"/>
      <c r="L43" s="461"/>
      <c r="M43" s="461"/>
      <c r="N43" s="461"/>
      <c r="O43" s="461"/>
    </row>
    <row r="44" spans="2:17" s="421" customFormat="1" ht="18.95" customHeight="1" thickBot="1" x14ac:dyDescent="0.25">
      <c r="B44" s="663" t="s">
        <v>894</v>
      </c>
      <c r="C44" s="664"/>
      <c r="D44" s="664"/>
      <c r="E44" s="664"/>
      <c r="F44" s="664"/>
      <c r="G44" s="664"/>
      <c r="H44" s="664"/>
      <c r="I44" s="664"/>
      <c r="J44" s="664"/>
      <c r="K44" s="664"/>
      <c r="L44" s="664"/>
      <c r="M44" s="664"/>
      <c r="N44" s="664"/>
      <c r="O44" s="665"/>
    </row>
    <row r="45" spans="2:17" s="421" customFormat="1" ht="18.95" customHeight="1" x14ac:dyDescent="0.2">
      <c r="B45" s="666" t="s">
        <v>708</v>
      </c>
      <c r="C45" s="667"/>
      <c r="D45" s="531"/>
      <c r="E45" s="467"/>
      <c r="F45" s="467"/>
      <c r="G45" s="467"/>
      <c r="H45" s="467"/>
      <c r="I45" s="467"/>
      <c r="J45" s="467"/>
      <c r="K45" s="467"/>
      <c r="L45" s="467"/>
      <c r="M45" s="467"/>
      <c r="N45" s="467"/>
      <c r="O45" s="456" t="str">
        <f>IF(AND(E45="",F45="",G45="",H45="",I45="",J45="",K45="",L45="",M45="",N45=""),"",SUM(E45:N45))</f>
        <v/>
      </c>
    </row>
    <row r="46" spans="2:17" s="421" customFormat="1" ht="18.95" customHeight="1" x14ac:dyDescent="0.2">
      <c r="B46" s="668" t="s">
        <v>709</v>
      </c>
      <c r="C46" s="669"/>
      <c r="D46" s="529"/>
      <c r="E46" s="455"/>
      <c r="F46" s="455"/>
      <c r="G46" s="455"/>
      <c r="H46" s="455"/>
      <c r="I46" s="455"/>
      <c r="J46" s="455"/>
      <c r="K46" s="455"/>
      <c r="L46" s="455"/>
      <c r="M46" s="455"/>
      <c r="N46" s="455"/>
      <c r="O46" s="456" t="str">
        <f>IF(AND(E46="",F46="",G46="",H46="",I46="",J46="",K46="",L46="",M46="",N46=""),"",SUM(E46:N46))</f>
        <v/>
      </c>
    </row>
    <row r="47" spans="2:17" s="421" customFormat="1" ht="18.95" customHeight="1" thickBot="1" x14ac:dyDescent="0.25">
      <c r="B47" s="670" t="s">
        <v>625</v>
      </c>
      <c r="C47" s="671"/>
      <c r="D47" s="544"/>
      <c r="E47" s="468"/>
      <c r="F47" s="468"/>
      <c r="G47" s="468"/>
      <c r="H47" s="468"/>
      <c r="I47" s="468"/>
      <c r="J47" s="468"/>
      <c r="K47" s="468"/>
      <c r="L47" s="468"/>
      <c r="M47" s="468"/>
      <c r="N47" s="468"/>
      <c r="O47" s="459" t="str">
        <f>IF(AND(E47="",F47="",G47="",H47="",I47="",J47="",K47="",L47="",M47="",N47=""),"",SUM(E47:N47))</f>
        <v/>
      </c>
    </row>
    <row r="48" spans="2:17" s="421" customFormat="1" ht="6.95" customHeight="1" thickBot="1" x14ac:dyDescent="0.25">
      <c r="B48" s="433"/>
      <c r="C48" s="433"/>
      <c r="D48" s="461"/>
      <c r="E48" s="461"/>
      <c r="F48" s="461"/>
      <c r="G48" s="461"/>
      <c r="H48" s="461"/>
      <c r="I48" s="461"/>
      <c r="J48" s="461"/>
      <c r="K48" s="461"/>
      <c r="L48" s="461"/>
      <c r="M48" s="461"/>
      <c r="N48" s="461"/>
      <c r="O48" s="461"/>
    </row>
    <row r="49" spans="2:17" s="421" customFormat="1" ht="18.95" customHeight="1" thickBot="1" x14ac:dyDescent="0.25">
      <c r="B49" s="659" t="s">
        <v>523</v>
      </c>
      <c r="C49" s="660"/>
      <c r="D49" s="462"/>
      <c r="E49" s="464"/>
      <c r="F49" s="464"/>
      <c r="G49" s="464"/>
      <c r="H49" s="464"/>
      <c r="I49" s="464"/>
      <c r="J49" s="464"/>
      <c r="K49" s="464"/>
      <c r="L49" s="464"/>
      <c r="M49" s="464"/>
      <c r="N49" s="464"/>
      <c r="O49" s="465" t="str">
        <f>IF(AND(E49="",F49="",G49="",H49="",I49="",J49="",K49="",L49="",M49="",N49=""),"",SUM(E49:N49))</f>
        <v/>
      </c>
    </row>
    <row r="50" spans="2:17" s="421" customFormat="1" ht="12" customHeight="1" thickBot="1" x14ac:dyDescent="0.25">
      <c r="B50" s="466"/>
      <c r="C50" s="436"/>
      <c r="D50" s="436"/>
      <c r="E50" s="461"/>
      <c r="F50" s="461"/>
      <c r="G50" s="461"/>
      <c r="H50" s="461"/>
      <c r="I50" s="461"/>
      <c r="J50" s="461"/>
      <c r="K50" s="461"/>
      <c r="L50" s="461"/>
      <c r="M50" s="461"/>
      <c r="N50" s="461"/>
      <c r="O50" s="461"/>
    </row>
    <row r="51" spans="2:17" s="421" customFormat="1" ht="27.75" customHeight="1" thickBot="1" x14ac:dyDescent="0.25">
      <c r="B51" s="610" t="s">
        <v>626</v>
      </c>
      <c r="C51" s="611"/>
      <c r="D51" s="469" t="str">
        <f>IF(D40="","",D40)</f>
        <v/>
      </c>
      <c r="E51" s="469" t="str">
        <f t="shared" ref="E51:N51" si="2">IF(OR(E40="",E47="",E49=""),"",(E40+E47-E49))</f>
        <v/>
      </c>
      <c r="F51" s="469" t="str">
        <f t="shared" si="2"/>
        <v/>
      </c>
      <c r="G51" s="469" t="str">
        <f t="shared" si="2"/>
        <v/>
      </c>
      <c r="H51" s="469" t="str">
        <f t="shared" si="2"/>
        <v/>
      </c>
      <c r="I51" s="469" t="str">
        <f t="shared" si="2"/>
        <v/>
      </c>
      <c r="J51" s="469" t="str">
        <f t="shared" si="2"/>
        <v/>
      </c>
      <c r="K51" s="469" t="str">
        <f t="shared" si="2"/>
        <v/>
      </c>
      <c r="L51" s="469" t="str">
        <f t="shared" si="2"/>
        <v/>
      </c>
      <c r="M51" s="469" t="str">
        <f t="shared" si="2"/>
        <v/>
      </c>
      <c r="N51" s="469" t="str">
        <f t="shared" si="2"/>
        <v/>
      </c>
      <c r="O51" s="465" t="str">
        <f>IF(AND(D51="",E51="",F51="",G51="",H51="",I51="",J51="",K51="",L51="",M51="",N51=""),"",SUM(D51:N51))</f>
        <v/>
      </c>
    </row>
    <row r="52" spans="2:17" s="421" customFormat="1" ht="12" customHeight="1" thickBot="1" x14ac:dyDescent="0.25">
      <c r="B52" s="466"/>
      <c r="C52" s="436"/>
      <c r="D52" s="436"/>
      <c r="E52" s="461"/>
      <c r="F52" s="461"/>
      <c r="G52" s="461"/>
      <c r="H52" s="461"/>
      <c r="I52" s="461"/>
      <c r="J52" s="461"/>
      <c r="K52" s="461"/>
      <c r="L52" s="461"/>
      <c r="M52" s="461"/>
      <c r="N52" s="461"/>
      <c r="O52" s="461"/>
    </row>
    <row r="53" spans="2:17" s="421" customFormat="1" ht="18.95" customHeight="1" thickBot="1" x14ac:dyDescent="0.25">
      <c r="B53" s="625" t="s">
        <v>627</v>
      </c>
      <c r="C53" s="626"/>
      <c r="D53" s="615" t="s">
        <v>555</v>
      </c>
      <c r="E53" s="616"/>
      <c r="F53" s="616"/>
      <c r="G53" s="616"/>
      <c r="H53" s="616"/>
      <c r="I53" s="616"/>
      <c r="J53" s="616"/>
      <c r="K53" s="616"/>
      <c r="L53" s="616"/>
      <c r="M53" s="616"/>
      <c r="N53" s="470" t="str">
        <f>IF(OR(F40="",F47=""),"",(F40+F47))</f>
        <v/>
      </c>
      <c r="O53" s="617" t="str">
        <f>IF(AND(N53&lt;&gt;"",N54&lt;&gt;"",N55&lt;&gt;""),N53+N54+N55,IF(AND(N53&lt;&gt;"",N54="",N55=""),N53,IF(AND(N53="",N54&lt;&gt;"",N55=""),N54,IF(AND(N53="",N54="",N55&lt;&gt;""),N55,IF(AND(N53="",N54="",N55=""),"",IF(AND(N53&lt;&gt;"",N54&lt;&gt;"",N55=""),N53+N54,IF(AND(N54&lt;&gt;"",N55&lt;&gt;"",N53=""),N54+N55,IF(AND(N53&lt;&gt;"",N55&lt;&gt;"",N54=""),N53+N55))))))))</f>
        <v/>
      </c>
    </row>
    <row r="54" spans="2:17" s="421" customFormat="1" ht="18.95" customHeight="1" thickBot="1" x14ac:dyDescent="0.25">
      <c r="B54" s="627"/>
      <c r="C54" s="628"/>
      <c r="D54" s="618" t="s">
        <v>628</v>
      </c>
      <c r="E54" s="616"/>
      <c r="F54" s="616"/>
      <c r="G54" s="616"/>
      <c r="H54" s="616"/>
      <c r="I54" s="616"/>
      <c r="J54" s="616"/>
      <c r="K54" s="616"/>
      <c r="L54" s="616"/>
      <c r="M54" s="616"/>
      <c r="N54" s="470" t="str">
        <f>IF(OR(G40="",G47=""),"",(G40+G47))</f>
        <v/>
      </c>
      <c r="O54" s="617"/>
    </row>
    <row r="55" spans="2:17" s="421" customFormat="1" ht="18.95" customHeight="1" thickBot="1" x14ac:dyDescent="0.25">
      <c r="B55" s="629"/>
      <c r="C55" s="630"/>
      <c r="D55" s="615" t="s">
        <v>556</v>
      </c>
      <c r="E55" s="616"/>
      <c r="F55" s="616"/>
      <c r="G55" s="616"/>
      <c r="H55" s="616"/>
      <c r="I55" s="616"/>
      <c r="J55" s="616"/>
      <c r="K55" s="616"/>
      <c r="L55" s="616"/>
      <c r="M55" s="616"/>
      <c r="N55" s="470" t="str">
        <f>IF(OR(H40="",H47=""),"",(H40+H47))</f>
        <v/>
      </c>
      <c r="O55" s="617"/>
    </row>
    <row r="56" spans="2:17" s="421" customFormat="1" ht="11.25" customHeight="1" x14ac:dyDescent="0.2">
      <c r="B56" s="466"/>
      <c r="E56" s="471"/>
      <c r="F56" s="471"/>
      <c r="G56" s="471"/>
      <c r="H56" s="471"/>
      <c r="I56" s="471"/>
      <c r="J56" s="471"/>
      <c r="K56" s="471"/>
      <c r="L56" s="471"/>
      <c r="M56" s="471"/>
      <c r="N56" s="471"/>
      <c r="O56" s="471"/>
    </row>
    <row r="57" spans="2:17" s="421" customFormat="1" ht="27" customHeight="1" x14ac:dyDescent="0.2">
      <c r="B57" s="672" t="s">
        <v>890</v>
      </c>
      <c r="C57" s="673"/>
      <c r="D57" s="673"/>
      <c r="E57" s="673"/>
      <c r="F57" s="673"/>
      <c r="G57" s="673"/>
      <c r="H57" s="673"/>
      <c r="I57" s="673"/>
      <c r="J57" s="673"/>
      <c r="K57" s="673"/>
      <c r="L57" s="673"/>
      <c r="M57" s="673"/>
      <c r="N57" s="673"/>
      <c r="O57" s="673"/>
    </row>
    <row r="58" spans="2:17" s="421" customFormat="1" ht="16.5" customHeight="1" x14ac:dyDescent="0.2">
      <c r="B58" s="689" t="s">
        <v>524</v>
      </c>
      <c r="C58" s="690"/>
      <c r="D58" s="690"/>
      <c r="E58" s="690"/>
      <c r="F58" s="690"/>
      <c r="G58" s="690"/>
      <c r="H58" s="690"/>
      <c r="I58" s="690"/>
      <c r="J58" s="690"/>
      <c r="K58" s="690"/>
      <c r="L58" s="690"/>
      <c r="M58" s="690"/>
      <c r="N58" s="690"/>
      <c r="O58" s="690"/>
      <c r="Q58" s="421" t="s">
        <v>76</v>
      </c>
    </row>
    <row r="59" spans="2:17" s="421" customFormat="1" ht="45.75" customHeight="1" x14ac:dyDescent="0.2">
      <c r="B59" s="691" t="s">
        <v>891</v>
      </c>
      <c r="C59" s="692"/>
      <c r="D59" s="692"/>
      <c r="E59" s="692"/>
      <c r="F59" s="692"/>
      <c r="G59" s="692"/>
      <c r="H59" s="692"/>
      <c r="I59" s="692"/>
      <c r="J59" s="692"/>
      <c r="K59" s="692"/>
      <c r="L59" s="692"/>
      <c r="M59" s="692"/>
      <c r="N59" s="692"/>
      <c r="O59" s="692"/>
    </row>
    <row r="60" spans="2:17" s="421" customFormat="1" ht="45.75" customHeight="1" x14ac:dyDescent="0.2">
      <c r="B60" s="654" t="s">
        <v>730</v>
      </c>
      <c r="C60" s="655"/>
      <c r="D60" s="655"/>
      <c r="E60" s="655"/>
      <c r="F60" s="655"/>
      <c r="G60" s="655"/>
      <c r="H60" s="655"/>
      <c r="I60" s="655"/>
      <c r="J60" s="655"/>
      <c r="K60" s="655"/>
      <c r="L60" s="655"/>
      <c r="M60" s="655"/>
      <c r="N60" s="655"/>
      <c r="O60" s="655"/>
    </row>
    <row r="61" spans="2:17" s="421" customFormat="1" ht="12" customHeight="1" x14ac:dyDescent="0.2">
      <c r="B61" s="655" t="s">
        <v>525</v>
      </c>
      <c r="C61" s="640"/>
      <c r="D61" s="640"/>
      <c r="E61" s="640"/>
      <c r="F61" s="640"/>
      <c r="G61" s="640"/>
      <c r="H61" s="640"/>
      <c r="I61" s="640"/>
      <c r="J61" s="640"/>
      <c r="K61" s="640"/>
      <c r="L61" s="640"/>
      <c r="M61" s="640"/>
      <c r="N61" s="640"/>
      <c r="O61" s="640"/>
    </row>
    <row r="62" spans="2:17" s="421" customFormat="1" ht="14.25" customHeight="1" x14ac:dyDescent="0.2">
      <c r="B62" s="655" t="s">
        <v>526</v>
      </c>
      <c r="C62" s="655"/>
      <c r="D62" s="655"/>
      <c r="E62" s="655"/>
      <c r="F62" s="655"/>
      <c r="G62" s="655"/>
      <c r="H62" s="655"/>
      <c r="I62" s="655"/>
      <c r="J62" s="655"/>
      <c r="K62" s="655"/>
      <c r="L62" s="655"/>
      <c r="M62" s="655"/>
      <c r="N62" s="655"/>
      <c r="O62" s="655"/>
    </row>
    <row r="63" spans="2:17" s="421" customFormat="1" ht="15.75" customHeight="1" x14ac:dyDescent="0.2">
      <c r="B63" s="654" t="s">
        <v>632</v>
      </c>
      <c r="C63" s="655"/>
      <c r="D63" s="655"/>
      <c r="E63" s="655"/>
      <c r="F63" s="655"/>
      <c r="G63" s="655"/>
      <c r="H63" s="655"/>
      <c r="I63" s="655"/>
      <c r="J63" s="655"/>
      <c r="K63" s="655"/>
      <c r="L63" s="655"/>
      <c r="M63" s="655"/>
      <c r="N63" s="655"/>
      <c r="O63" s="655"/>
    </row>
    <row r="64" spans="2:17" s="421" customFormat="1" ht="70.5" customHeight="1" x14ac:dyDescent="0.2">
      <c r="B64" s="654" t="s">
        <v>892</v>
      </c>
      <c r="C64" s="655"/>
      <c r="D64" s="655"/>
      <c r="E64" s="655"/>
      <c r="F64" s="655"/>
      <c r="G64" s="655"/>
      <c r="H64" s="655"/>
      <c r="I64" s="655"/>
      <c r="J64" s="655"/>
      <c r="K64" s="655"/>
      <c r="L64" s="655"/>
      <c r="M64" s="655"/>
      <c r="N64" s="655"/>
      <c r="O64" s="655"/>
    </row>
    <row r="65" spans="2:15" s="421" customFormat="1" ht="13.5" customHeight="1" x14ac:dyDescent="0.2">
      <c r="B65" s="655" t="s">
        <v>527</v>
      </c>
      <c r="C65" s="688"/>
      <c r="D65" s="688"/>
      <c r="E65" s="688"/>
      <c r="F65" s="688"/>
      <c r="G65" s="688"/>
      <c r="H65" s="688"/>
      <c r="I65" s="688"/>
      <c r="J65" s="688"/>
      <c r="K65" s="688"/>
      <c r="L65" s="688"/>
      <c r="M65" s="688"/>
      <c r="N65" s="688"/>
      <c r="O65" s="688"/>
    </row>
    <row r="66" spans="2:15" s="421" customFormat="1" ht="96.75" customHeight="1" x14ac:dyDescent="0.2">
      <c r="B66" s="677" t="s">
        <v>629</v>
      </c>
      <c r="C66" s="678"/>
      <c r="D66" s="678"/>
      <c r="E66" s="678"/>
      <c r="F66" s="678"/>
      <c r="G66" s="678"/>
      <c r="H66" s="678"/>
      <c r="I66" s="678"/>
      <c r="J66" s="678"/>
      <c r="K66" s="678"/>
      <c r="L66" s="678"/>
      <c r="M66" s="678"/>
      <c r="N66" s="678"/>
      <c r="O66" s="678"/>
    </row>
    <row r="67" spans="2:15" s="421" customFormat="1" ht="86.25" customHeight="1" x14ac:dyDescent="0.2">
      <c r="B67" s="607" t="s">
        <v>893</v>
      </c>
      <c r="C67" s="608"/>
      <c r="D67" s="608"/>
      <c r="E67" s="608"/>
      <c r="F67" s="608"/>
      <c r="G67" s="608"/>
      <c r="H67" s="608"/>
      <c r="I67" s="608"/>
      <c r="J67" s="608"/>
      <c r="K67" s="608"/>
      <c r="L67" s="608"/>
      <c r="M67" s="608"/>
      <c r="N67" s="608"/>
      <c r="O67" s="608"/>
    </row>
    <row r="68" spans="2:15" x14ac:dyDescent="0.2">
      <c r="B68" s="472"/>
      <c r="C68" s="472"/>
      <c r="D68" s="472"/>
      <c r="E68" s="472"/>
      <c r="F68" s="472"/>
      <c r="G68" s="472"/>
      <c r="H68" s="472"/>
      <c r="I68" s="472"/>
      <c r="J68" s="472"/>
      <c r="K68" s="472"/>
      <c r="L68" s="472"/>
      <c r="M68" s="472"/>
      <c r="N68" s="472"/>
      <c r="O68" s="472"/>
    </row>
    <row r="69" spans="2:15" x14ac:dyDescent="0.2">
      <c r="B69" s="472"/>
      <c r="C69" s="472"/>
      <c r="D69" s="472"/>
      <c r="E69" s="472"/>
      <c r="F69" s="472"/>
      <c r="G69" s="472"/>
      <c r="H69" s="472"/>
      <c r="I69" s="472"/>
      <c r="J69" s="472"/>
      <c r="K69" s="472"/>
      <c r="L69" s="472"/>
      <c r="M69" s="472"/>
      <c r="N69" s="472"/>
      <c r="O69" s="472"/>
    </row>
    <row r="70" spans="2:15" x14ac:dyDescent="0.2">
      <c r="B70" s="472"/>
      <c r="C70" s="472"/>
      <c r="D70" s="472"/>
      <c r="E70" s="472"/>
      <c r="F70" s="472"/>
      <c r="G70" s="472"/>
      <c r="H70" s="472"/>
      <c r="I70" s="472"/>
      <c r="J70" s="472"/>
      <c r="K70" s="472"/>
      <c r="L70" s="472"/>
      <c r="M70" s="472"/>
      <c r="N70" s="472"/>
      <c r="O70" s="472"/>
    </row>
    <row r="71" spans="2:15" x14ac:dyDescent="0.2">
      <c r="B71" s="472"/>
      <c r="C71" s="472"/>
      <c r="D71" s="472"/>
      <c r="E71" s="472"/>
      <c r="F71" s="472"/>
      <c r="G71" s="472"/>
      <c r="H71" s="472"/>
      <c r="I71" s="472"/>
      <c r="J71" s="472"/>
      <c r="K71" s="472"/>
      <c r="L71" s="472"/>
      <c r="M71" s="472"/>
      <c r="N71" s="472"/>
      <c r="O71" s="472"/>
    </row>
    <row r="72" spans="2:15" x14ac:dyDescent="0.2">
      <c r="B72" s="472"/>
      <c r="C72" s="472"/>
      <c r="D72" s="472"/>
      <c r="E72" s="472"/>
      <c r="F72" s="472"/>
      <c r="G72" s="472"/>
      <c r="H72" s="472"/>
      <c r="I72" s="472"/>
      <c r="J72" s="472"/>
      <c r="K72" s="472"/>
      <c r="L72" s="472"/>
      <c r="M72" s="472"/>
      <c r="N72" s="472"/>
      <c r="O72" s="472"/>
    </row>
    <row r="73" spans="2:15" x14ac:dyDescent="0.2">
      <c r="B73" s="472"/>
      <c r="C73" s="472"/>
      <c r="D73" s="472"/>
      <c r="E73" s="472"/>
      <c r="F73" s="472"/>
      <c r="G73" s="472"/>
      <c r="H73" s="472"/>
      <c r="I73" s="472"/>
      <c r="J73" s="472"/>
      <c r="K73" s="472"/>
      <c r="L73" s="472"/>
      <c r="M73" s="472"/>
      <c r="N73" s="472"/>
      <c r="O73" s="472"/>
    </row>
    <row r="74" spans="2:15" x14ac:dyDescent="0.2">
      <c r="B74" s="472"/>
      <c r="C74" s="472"/>
      <c r="D74" s="472"/>
      <c r="E74" s="472"/>
      <c r="F74" s="472"/>
      <c r="G74" s="472"/>
      <c r="H74" s="472"/>
      <c r="I74" s="472"/>
      <c r="J74" s="472"/>
      <c r="K74" s="472"/>
      <c r="L74" s="472"/>
      <c r="M74" s="472"/>
      <c r="N74" s="472"/>
      <c r="O74" s="472"/>
    </row>
    <row r="75" spans="2:15" x14ac:dyDescent="0.2">
      <c r="B75" s="472"/>
      <c r="C75" s="472"/>
      <c r="D75" s="472"/>
      <c r="E75" s="472"/>
      <c r="F75" s="472"/>
      <c r="G75" s="472"/>
      <c r="H75" s="472"/>
      <c r="I75" s="472"/>
      <c r="J75" s="472"/>
      <c r="K75" s="472"/>
      <c r="L75" s="472"/>
      <c r="M75" s="472"/>
      <c r="N75" s="472"/>
      <c r="O75" s="472"/>
    </row>
    <row r="76" spans="2:15" x14ac:dyDescent="0.2">
      <c r="B76" s="472"/>
      <c r="C76" s="472"/>
      <c r="D76" s="472"/>
      <c r="E76" s="472"/>
      <c r="F76" s="472"/>
      <c r="G76" s="472"/>
      <c r="H76" s="472"/>
      <c r="I76" s="472"/>
      <c r="J76" s="472"/>
      <c r="K76" s="472"/>
      <c r="L76" s="472"/>
      <c r="M76" s="472"/>
      <c r="N76" s="472"/>
      <c r="O76" s="472"/>
    </row>
    <row r="77" spans="2:15" x14ac:dyDescent="0.2">
      <c r="B77" s="472"/>
      <c r="C77" s="472"/>
      <c r="D77" s="472"/>
      <c r="E77" s="472"/>
      <c r="F77" s="472"/>
      <c r="G77" s="472"/>
      <c r="H77" s="472"/>
      <c r="I77" s="472"/>
      <c r="J77" s="472"/>
      <c r="K77" s="472"/>
      <c r="L77" s="472"/>
      <c r="M77" s="472"/>
      <c r="N77" s="472"/>
      <c r="O77" s="472"/>
    </row>
    <row r="78" spans="2:15" x14ac:dyDescent="0.2">
      <c r="B78" s="472"/>
      <c r="C78" s="472"/>
      <c r="D78" s="472"/>
      <c r="E78" s="472"/>
      <c r="F78" s="472"/>
      <c r="G78" s="472"/>
      <c r="H78" s="472"/>
      <c r="I78" s="472"/>
      <c r="J78" s="472"/>
      <c r="K78" s="472"/>
      <c r="L78" s="472"/>
      <c r="M78" s="472"/>
      <c r="N78" s="472"/>
      <c r="O78" s="472"/>
    </row>
    <row r="79" spans="2:15" x14ac:dyDescent="0.2">
      <c r="B79" s="472"/>
      <c r="C79" s="472"/>
      <c r="D79" s="472"/>
      <c r="E79" s="472"/>
      <c r="F79" s="472"/>
      <c r="G79" s="472"/>
      <c r="H79" s="472"/>
      <c r="I79" s="472"/>
      <c r="J79" s="472"/>
      <c r="K79" s="472"/>
      <c r="L79" s="472"/>
      <c r="M79" s="472"/>
      <c r="N79" s="472"/>
      <c r="O79" s="472"/>
    </row>
    <row r="80" spans="2:15" x14ac:dyDescent="0.2">
      <c r="B80" s="472"/>
      <c r="C80" s="472"/>
      <c r="D80" s="472"/>
      <c r="E80" s="472"/>
      <c r="F80" s="472"/>
      <c r="G80" s="472"/>
      <c r="H80" s="472"/>
      <c r="I80" s="472"/>
      <c r="J80" s="472"/>
      <c r="K80" s="472"/>
      <c r="L80" s="472"/>
      <c r="M80" s="472"/>
      <c r="N80" s="472"/>
      <c r="O80" s="472"/>
    </row>
    <row r="81" spans="2:15" x14ac:dyDescent="0.2">
      <c r="B81" s="472"/>
      <c r="C81" s="472"/>
      <c r="D81" s="472"/>
      <c r="E81" s="472"/>
      <c r="F81" s="472"/>
      <c r="G81" s="472"/>
      <c r="H81" s="472"/>
      <c r="I81" s="472"/>
      <c r="J81" s="472"/>
      <c r="K81" s="472"/>
      <c r="L81" s="472"/>
      <c r="M81" s="472"/>
      <c r="N81" s="472"/>
      <c r="O81" s="472"/>
    </row>
  </sheetData>
  <sheetProtection algorithmName="SHA-512" hashValue="Fpuh4LzF2Y8aBuVyWsLMCL0XY/yJWXNSEdFl75pMTYOaQ1Uqc3Dxnvd5mVxUgQ895mFFM96GK+JYZqTzILJRUw==" saltValue="L/KOOC+dErpv1OgCmU21PQ=="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60">
    <mergeCell ref="B66:O66"/>
    <mergeCell ref="M6:O6"/>
    <mergeCell ref="C10:O10"/>
    <mergeCell ref="C8:O8"/>
    <mergeCell ref="C6:E6"/>
    <mergeCell ref="M12:O12"/>
    <mergeCell ref="C16:E16"/>
    <mergeCell ref="B65:O65"/>
    <mergeCell ref="B58:O58"/>
    <mergeCell ref="B59:O59"/>
    <mergeCell ref="B60:O60"/>
    <mergeCell ref="B61:O61"/>
    <mergeCell ref="B62:O62"/>
    <mergeCell ref="F28:N28"/>
    <mergeCell ref="B40:C40"/>
    <mergeCell ref="B63:O63"/>
    <mergeCell ref="B64:O64"/>
    <mergeCell ref="M29:M30"/>
    <mergeCell ref="N29:N30"/>
    <mergeCell ref="B49:C49"/>
    <mergeCell ref="B39:C39"/>
    <mergeCell ref="B33:B35"/>
    <mergeCell ref="B44:O44"/>
    <mergeCell ref="B45:C45"/>
    <mergeCell ref="B46:C46"/>
    <mergeCell ref="B47:C47"/>
    <mergeCell ref="B57:O57"/>
    <mergeCell ref="B38:C38"/>
    <mergeCell ref="B28:C30"/>
    <mergeCell ref="D28:E29"/>
    <mergeCell ref="M16:O16"/>
    <mergeCell ref="B53:C55"/>
    <mergeCell ref="O28:O30"/>
    <mergeCell ref="B42:C42"/>
    <mergeCell ref="F29:L29"/>
    <mergeCell ref="B26:O26"/>
    <mergeCell ref="B27:O27"/>
    <mergeCell ref="E25:O25"/>
    <mergeCell ref="B24:D24"/>
    <mergeCell ref="B25:D25"/>
    <mergeCell ref="B21:D21"/>
    <mergeCell ref="B22:D22"/>
    <mergeCell ref="E21:O21"/>
    <mergeCell ref="E22:O22"/>
    <mergeCell ref="C12:E12"/>
    <mergeCell ref="B67:O67"/>
    <mergeCell ref="B4:O4"/>
    <mergeCell ref="B51:C51"/>
    <mergeCell ref="C14:E14"/>
    <mergeCell ref="I19:O19"/>
    <mergeCell ref="I18:O18"/>
    <mergeCell ref="M14:O14"/>
    <mergeCell ref="D53:M53"/>
    <mergeCell ref="O53:O55"/>
    <mergeCell ref="D54:M54"/>
    <mergeCell ref="D55:M55"/>
    <mergeCell ref="B32:O32"/>
    <mergeCell ref="B36:C36"/>
    <mergeCell ref="B37:C37"/>
    <mergeCell ref="E24:O24"/>
  </mergeCells>
  <phoneticPr fontId="41" type="noConversion"/>
  <conditionalFormatting sqref="C6:E6">
    <cfRule type="expression" dxfId="14" priority="54">
      <formula>LEN(TRIM(C6))=0</formula>
    </cfRule>
  </conditionalFormatting>
  <conditionalFormatting sqref="C12:E12">
    <cfRule type="expression" dxfId="2" priority="11">
      <formula>IF(OR($B$22="Österreich",$B$22="Schweiz",$B$22="Italien",$B$22="Luxemburg",$B$22="Polen",$B$22="Rumänien",$B$22="China",$B$22="Russland"),TRUE,FALSE)</formula>
    </cfRule>
    <cfRule type="expression" dxfId="13" priority="13">
      <formula>LEN(TRIM(C12))=0</formula>
    </cfRule>
  </conditionalFormatting>
  <conditionalFormatting sqref="C16:E16">
    <cfRule type="expression" dxfId="10" priority="53">
      <formula>LEN(TRIM(C16))=0</formula>
    </cfRule>
  </conditionalFormatting>
  <conditionalFormatting sqref="D33:N36 E37:N38 D39:N39">
    <cfRule type="expression" dxfId="9" priority="20">
      <formula>LEN(TRIM(D33))=0</formula>
    </cfRule>
  </conditionalFormatting>
  <conditionalFormatting sqref="E22">
    <cfRule type="expression" dxfId="8" priority="14">
      <formula>LEN(TRIM(E22))=0</formula>
    </cfRule>
  </conditionalFormatting>
  <conditionalFormatting sqref="E25">
    <cfRule type="expression" dxfId="7" priority="48">
      <formula>LEN(TRIM(E25))=0</formula>
    </cfRule>
  </conditionalFormatting>
  <conditionalFormatting sqref="E45:N47">
    <cfRule type="expression" dxfId="6" priority="16">
      <formula>LEN(TRIM(E45))=0</formula>
    </cfRule>
  </conditionalFormatting>
  <conditionalFormatting sqref="E49:N49">
    <cfRule type="expression" dxfId="5" priority="15">
      <formula>LEN(TRIM(E49))=0</formula>
    </cfRule>
  </conditionalFormatting>
  <conditionalFormatting sqref="F42:N42">
    <cfRule type="expression" dxfId="4" priority="19">
      <formula>LEN(TRIM(F42))=0</formula>
    </cfRule>
  </conditionalFormatting>
  <conditionalFormatting sqref="M12:O12">
    <cfRule type="expression" dxfId="3" priority="52">
      <formula>LEN(TRIM(M12))=0</formula>
    </cfRule>
  </conditionalFormatting>
  <conditionalFormatting sqref="C14:E14">
    <cfRule type="expression" dxfId="1" priority="1">
      <formula>IF(OR($B$22="Österreich",$B$22="Schweiz",$B$22="Italien",$B$22="Luxemburg",$B$22="Polen",$B$22="Rumänien",$B$22="China",$B$22="Russland"),TRUE,FALSE)</formula>
    </cfRule>
    <cfRule type="expression" dxfId="0" priority="2">
      <formula>LEN(TRIM(C14))=0</formula>
    </cfRule>
  </conditionalFormatting>
  <dataValidations xWindow="246" yWindow="423" count="18">
    <dataValidation allowBlank="1" showInputMessage="1" showErrorMessage="1" errorTitle="Eingabefehler" sqref="M14:N14 M16:N16" xr:uid="{00000000-0002-0000-0000-000000000000}"/>
    <dataValidation type="textLength" allowBlank="1" showInputMessage="1" showErrorMessage="1" errorTitle="Eingabefehler" error="Nur Texteingabe möglich." prompt="Name, Vorname" sqref="F14:G14" xr:uid="{00000000-0002-0000-0000-000001000000}">
      <formula1>0</formula1>
      <formula2>100</formula2>
    </dataValidation>
    <dataValidation type="date" allowBlank="1" showInputMessage="1" showErrorMessage="1" errorTitle="Eingabefehler" error="Erstelldatum: dd.mm.jjjj" sqref="F16:G16" xr:uid="{00000000-0002-0000-0000-000002000000}">
      <formula1>41275</formula1>
      <formula2>41791</formula2>
    </dataValidation>
    <dataValidation type="date" errorStyle="information" allowBlank="1" showInputMessage="1" showErrorMessage="1" errorTitle="Kennzahlenjahr" error="Es können nur Kennzahlenjahre von 2012 bis 2014 eingetragen werden." sqref="M17:O17 M20:O20" xr:uid="{00000000-0002-0000-0000-000003000000}">
      <formula1>2010</formula1>
      <formula2>2012</formula2>
    </dataValidation>
    <dataValidation showInputMessage="1" showErrorMessage="1" errorTitle="Hinweis" error="Auswahl treffen über Dropdown-Liste." sqref="I19:O19" xr:uid="{00000000-0002-0000-0000-000004000000}"/>
    <dataValidation operator="greaterThan" allowBlank="1" showInputMessage="1" showErrorMessage="1" sqref="O28" xr:uid="{00000000-0002-0000-0000-000005000000}"/>
    <dataValidation type="whole" allowBlank="1" showInputMessage="1" showErrorMessage="1" errorTitle="Eingabefehler" error="Ganze Zahl zwischen 0 und 5000." sqref="I36 D45:N46 D33:N34 D35:H36 J35:N36 D37:N39" xr:uid="{00000000-0002-0000-0000-000006000000}">
      <formula1>0</formula1>
      <formula2>5000</formula2>
    </dataValidation>
    <dataValidation type="date" allowBlank="1" showErrorMessage="1" errorTitle="Eingabefehler" error="Format: tt.mm.jjjj_x000a__x000a_Zeitraum zwischen 01.10.2024 - 31.01.2026 angeben." sqref="M12:O12" xr:uid="{00000000-0002-0000-0000-000007000000}">
      <formula1>45566</formula1>
      <formula2>46053</formula2>
    </dataValidation>
    <dataValidation type="list" allowBlank="1" showInputMessage="1" showErrorMessage="1" errorTitle="Hinweis" error="Auswahl treffen über Dropdown-Liste." sqref="C6:E6" xr:uid="{00000000-0002-0000-0000-000008000000}">
      <formula1>ZentrumRegNr</formula1>
    </dataValidation>
    <dataValidation type="whole" allowBlank="1" showInputMessage="1" showErrorMessage="1" errorTitle="Eigabefehler" error="Ganze Zahl zwischen 0 und 5000." sqref="I35" xr:uid="{00000000-0002-0000-0000-000009000000}">
      <formula1>0</formula1>
      <formula2>5000</formula2>
    </dataValidation>
    <dataValidation type="whole" showInputMessage="1" showErrorMessage="1" errorTitle="Eingabefehler" error="&quot;davon Pat. mit Historie &quot;AS/WW&quot; kann nicht größer als &quot;Primärfallpat. gesamt&quot; sein." sqref="F42:N42" xr:uid="{00000000-0002-0000-0000-00000A000000}">
      <formula1>0</formula1>
      <formula2>IF(F40="",0,F40)</formula2>
    </dataValidation>
    <dataValidation allowBlank="1" showInputMessage="1" showErrorMessage="1" errorTitle="Hinweis" error="Auswahl treffen über Dropdown-Liste." sqref="F6:G7" xr:uid="{00000000-0002-0000-0000-00000B000000}"/>
    <dataValidation type="whole" showInputMessage="1" showErrorMessage="1" errorTitle="Eingabefehler" error="Pat. mit &quot;parallel Status Primärfall&quot; kann nicht größer als &quot;Pat. gesamt&quot; sein." sqref="D49:N49" xr:uid="{00000000-0002-0000-0000-00000C000000}">
      <formula1>0</formula1>
      <formula2>D47</formula2>
    </dataValidation>
    <dataValidation type="whole" showInputMessage="1" showErrorMessage="1" errorTitle="Eingabefehler" error="&quot;Pat. gesamt&quot; kann nicht größer sein als &quot;Pat. mit Neudiagnose Rezidiv und Fernmetastase&quot;." sqref="D47:N47" xr:uid="{00000000-0002-0000-0000-00000D000000}">
      <formula1>0</formula1>
      <formula2>D45+D46</formula2>
    </dataValidation>
    <dataValidation type="list" showInputMessage="1" showErrorMessage="1" errorTitle="Hinweis" error="Auswahl treffen über Dropdown-Liste." sqref="E25" xr:uid="{00000000-0002-0000-0000-00000E000000}">
      <formula1>Tumordokumentation</formula1>
    </dataValidation>
    <dataValidation type="textLength" allowBlank="1" showErrorMessage="1" errorTitle="Eingabefehler" error="Nur Texteingabe bis 100 Zeichen möglich." prompt="Name, Vorname" sqref="F12:G12 C16:E16" xr:uid="{00000000-0002-0000-0000-00000F000000}">
      <formula1>0</formula1>
      <formula2>100</formula2>
    </dataValidation>
    <dataValidation type="whole" allowBlank="1" showErrorMessage="1" errorTitle="Eingabefehler" error="Die IK-Nummer muss eine 9-stellige Ziffernfolge sein, welche mit 26 beginnt." prompt="Name, Vorname" sqref="C12:E12" xr:uid="{0931A86E-9969-4E4E-B016-A40C7C7427A1}">
      <formula1>260000000</formula1>
      <formula2>269999999</formula2>
    </dataValidation>
    <dataValidation type="whole" allowBlank="1" showErrorMessage="1" errorTitle="Eingabefehler" error="Die Standort-Nummer muss eine 9-stellige Ziffernfolge sein, welche mit 77 beginnt." prompt="Name, Vorname" sqref="C14:E14" xr:uid="{FA26C175-F2C3-4A92-BE97-41E5A0E885F1}">
      <formula1>770000000</formula1>
      <formula2>779999999</formula2>
    </dataValidation>
  </dataValidations>
  <pageMargins left="0.35" right="3.937007874015748E-2" top="0.39370078740157483" bottom="0.39370078740157483" header="0.31496062992125984" footer="0.11811023622047245"/>
  <pageSetup paperSize="9" scale="80"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57" max="14" man="1"/>
  </rowBreaks>
  <drawing r:id="rId4"/>
  <legacyDrawing r:id="rId5"/>
  <legacyDrawingHF r:id="rId6"/>
  <extLst>
    <ext xmlns:x14="http://schemas.microsoft.com/office/spreadsheetml/2009/9/main" uri="{CCE6A557-97BC-4b89-ADB6-D9C93CAAB3DF}">
      <x14:dataValidations xmlns:xm="http://schemas.microsoft.com/office/excel/2006/main" xWindow="246" yWindow="423" count="1">
        <x14:dataValidation type="list" allowBlank="1" showInputMessage="1" showErrorMessage="1" errorTitle="Hinweis" error="Auswahl treffen über Dropdown-Liste." xr:uid="{00000000-0002-0000-0000-000010000000}">
          <x14:formula1>
            <xm:f>Datenquelle!$B$57:$B$62</xm:f>
          </x14:formula1>
          <xm:sqref>E22:O22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
  <sheetViews>
    <sheetView showGridLines="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554" t="str">
        <f>Basisdaten!B2</f>
        <v>Anlage EB Version P1.2 (Auditjahr 2025 / Kennzahlenjahr 2024)</v>
      </c>
    </row>
    <row r="3" spans="1:11" ht="15.75" x14ac:dyDescent="0.25">
      <c r="A3" s="555" t="s">
        <v>895</v>
      </c>
    </row>
    <row r="4" spans="1:11" ht="18" customHeight="1" thickBot="1" x14ac:dyDescent="0.3"/>
    <row r="5" spans="1:11" ht="18" customHeight="1" thickBot="1" x14ac:dyDescent="0.3">
      <c r="D5" s="556" t="s">
        <v>896</v>
      </c>
      <c r="E5" s="557">
        <f>SUM(K11:K60)</f>
        <v>0</v>
      </c>
    </row>
    <row r="7" spans="1:11" ht="35.25" customHeight="1" x14ac:dyDescent="0.25">
      <c r="A7" s="695" t="s">
        <v>911</v>
      </c>
      <c r="B7" s="696"/>
      <c r="C7" s="696"/>
      <c r="D7" s="696"/>
      <c r="E7" s="696"/>
    </row>
    <row r="8" spans="1:11" ht="5.25" customHeight="1" thickBot="1" x14ac:dyDescent="0.3"/>
    <row r="9" spans="1:11" ht="24.95" customHeight="1" x14ac:dyDescent="0.25">
      <c r="A9" s="697" t="s">
        <v>897</v>
      </c>
      <c r="B9" s="699" t="s">
        <v>898</v>
      </c>
      <c r="C9" s="699" t="s">
        <v>899</v>
      </c>
      <c r="D9" s="699"/>
      <c r="E9" s="701"/>
    </row>
    <row r="10" spans="1:11" ht="54.95" customHeight="1" thickBot="1" x14ac:dyDescent="0.3">
      <c r="A10" s="698"/>
      <c r="B10" s="700"/>
      <c r="C10" s="558" t="s">
        <v>900</v>
      </c>
      <c r="D10" s="558" t="s">
        <v>901</v>
      </c>
      <c r="E10" s="559" t="s">
        <v>902</v>
      </c>
    </row>
    <row r="11" spans="1:11" ht="26.1" customHeight="1" x14ac:dyDescent="0.25">
      <c r="A11" s="587"/>
      <c r="B11" s="567"/>
      <c r="C11" s="588"/>
      <c r="D11" s="588"/>
      <c r="E11" s="589"/>
      <c r="I11" s="597">
        <f>IF(A11&lt;&gt;"",1,0)</f>
        <v>0</v>
      </c>
      <c r="J11" s="597">
        <f>IF(B11&lt;&gt;"",1,0)</f>
        <v>0</v>
      </c>
      <c r="K11" s="597" t="str">
        <f>IF(AND(SUM($C$11:$C$60)&gt;=1,SUM(I11:J11)=2),SUM(C11:E11),"")</f>
        <v/>
      </c>
    </row>
    <row r="12" spans="1:11" ht="26.1" customHeight="1" x14ac:dyDescent="0.25">
      <c r="A12" s="590"/>
      <c r="B12" s="567"/>
      <c r="C12" s="588"/>
      <c r="D12" s="588"/>
      <c r="E12" s="589"/>
      <c r="I12" s="597">
        <f t="shared" ref="I12:I60" si="0">IF(A12&lt;&gt;"",1,0)</f>
        <v>0</v>
      </c>
      <c r="J12" s="597">
        <f t="shared" ref="J12:J60" si="1">IF(B12&lt;&gt;"",1,0)</f>
        <v>0</v>
      </c>
      <c r="K12" s="597" t="str">
        <f t="shared" ref="K12:K60" si="2">IF(AND(SUM($C$11:$C$60)&gt;=1,SUM(I12:J12)=2),SUM(C12:E12),"")</f>
        <v/>
      </c>
    </row>
    <row r="13" spans="1:11" ht="26.1" customHeight="1" x14ac:dyDescent="0.25">
      <c r="A13" s="590"/>
      <c r="B13" s="567"/>
      <c r="C13" s="588"/>
      <c r="D13" s="588"/>
      <c r="E13" s="589"/>
      <c r="I13" s="597">
        <f t="shared" si="0"/>
        <v>0</v>
      </c>
      <c r="J13" s="597">
        <f t="shared" si="1"/>
        <v>0</v>
      </c>
      <c r="K13" s="597" t="str">
        <f t="shared" si="2"/>
        <v/>
      </c>
    </row>
    <row r="14" spans="1:11" ht="26.1" customHeight="1" x14ac:dyDescent="0.25">
      <c r="A14" s="590"/>
      <c r="B14" s="567"/>
      <c r="C14" s="588"/>
      <c r="D14" s="588"/>
      <c r="E14" s="589"/>
      <c r="I14" s="597">
        <f t="shared" si="0"/>
        <v>0</v>
      </c>
      <c r="J14" s="597">
        <f t="shared" si="1"/>
        <v>0</v>
      </c>
      <c r="K14" s="597" t="str">
        <f t="shared" si="2"/>
        <v/>
      </c>
    </row>
    <row r="15" spans="1:11" ht="26.1" customHeight="1" x14ac:dyDescent="0.25">
      <c r="A15" s="590"/>
      <c r="B15" s="567"/>
      <c r="C15" s="588"/>
      <c r="D15" s="588"/>
      <c r="E15" s="589"/>
      <c r="I15" s="597">
        <f t="shared" si="0"/>
        <v>0</v>
      </c>
      <c r="J15" s="597">
        <f t="shared" si="1"/>
        <v>0</v>
      </c>
      <c r="K15" s="597" t="str">
        <f t="shared" si="2"/>
        <v/>
      </c>
    </row>
    <row r="16" spans="1:11" ht="26.1" customHeight="1" x14ac:dyDescent="0.25">
      <c r="A16" s="590"/>
      <c r="B16" s="567"/>
      <c r="C16" s="588"/>
      <c r="D16" s="588"/>
      <c r="E16" s="589"/>
      <c r="I16" s="597">
        <f t="shared" si="0"/>
        <v>0</v>
      </c>
      <c r="J16" s="597">
        <f t="shared" si="1"/>
        <v>0</v>
      </c>
      <c r="K16" s="597" t="str">
        <f t="shared" si="2"/>
        <v/>
      </c>
    </row>
    <row r="17" spans="1:11" ht="26.1" customHeight="1" x14ac:dyDescent="0.25">
      <c r="A17" s="590"/>
      <c r="B17" s="567"/>
      <c r="C17" s="588"/>
      <c r="D17" s="588"/>
      <c r="E17" s="589"/>
      <c r="I17" s="597">
        <f t="shared" si="0"/>
        <v>0</v>
      </c>
      <c r="J17" s="597">
        <f t="shared" si="1"/>
        <v>0</v>
      </c>
      <c r="K17" s="597" t="str">
        <f t="shared" si="2"/>
        <v/>
      </c>
    </row>
    <row r="18" spans="1:11" ht="26.1" customHeight="1" x14ac:dyDescent="0.25">
      <c r="A18" s="590"/>
      <c r="B18" s="567"/>
      <c r="C18" s="588"/>
      <c r="D18" s="588"/>
      <c r="E18" s="589"/>
      <c r="I18" s="597">
        <f t="shared" si="0"/>
        <v>0</v>
      </c>
      <c r="J18" s="597">
        <f t="shared" si="1"/>
        <v>0</v>
      </c>
      <c r="K18" s="597" t="str">
        <f t="shared" si="2"/>
        <v/>
      </c>
    </row>
    <row r="19" spans="1:11" ht="26.1" customHeight="1" x14ac:dyDescent="0.25">
      <c r="A19" s="590"/>
      <c r="B19" s="567"/>
      <c r="C19" s="588"/>
      <c r="D19" s="588"/>
      <c r="E19" s="589"/>
      <c r="I19" s="597">
        <f t="shared" si="0"/>
        <v>0</v>
      </c>
      <c r="J19" s="597">
        <f t="shared" si="1"/>
        <v>0</v>
      </c>
      <c r="K19" s="597" t="str">
        <f t="shared" si="2"/>
        <v/>
      </c>
    </row>
    <row r="20" spans="1:11" ht="26.1" customHeight="1" x14ac:dyDescent="0.25">
      <c r="A20" s="590"/>
      <c r="B20" s="567"/>
      <c r="C20" s="588"/>
      <c r="D20" s="588"/>
      <c r="E20" s="589"/>
      <c r="I20" s="597">
        <f t="shared" si="0"/>
        <v>0</v>
      </c>
      <c r="J20" s="597">
        <f t="shared" si="1"/>
        <v>0</v>
      </c>
      <c r="K20" s="597" t="str">
        <f t="shared" si="2"/>
        <v/>
      </c>
    </row>
    <row r="21" spans="1:11" ht="26.1" customHeight="1" x14ac:dyDescent="0.25">
      <c r="A21" s="590"/>
      <c r="B21" s="567"/>
      <c r="C21" s="588"/>
      <c r="D21" s="588"/>
      <c r="E21" s="589"/>
      <c r="I21" s="597">
        <f t="shared" si="0"/>
        <v>0</v>
      </c>
      <c r="J21" s="597">
        <f t="shared" si="1"/>
        <v>0</v>
      </c>
      <c r="K21" s="597" t="str">
        <f t="shared" si="2"/>
        <v/>
      </c>
    </row>
    <row r="22" spans="1:11" ht="26.1" customHeight="1" x14ac:dyDescent="0.25">
      <c r="A22" s="590"/>
      <c r="B22" s="567"/>
      <c r="C22" s="588"/>
      <c r="D22" s="588"/>
      <c r="E22" s="589"/>
      <c r="I22" s="597">
        <f t="shared" si="0"/>
        <v>0</v>
      </c>
      <c r="J22" s="597">
        <f t="shared" si="1"/>
        <v>0</v>
      </c>
      <c r="K22" s="597" t="str">
        <f t="shared" si="2"/>
        <v/>
      </c>
    </row>
    <row r="23" spans="1:11" ht="26.1" customHeight="1" x14ac:dyDescent="0.25">
      <c r="A23" s="590"/>
      <c r="B23" s="567"/>
      <c r="C23" s="588"/>
      <c r="D23" s="588"/>
      <c r="E23" s="589"/>
      <c r="I23" s="597">
        <f t="shared" si="0"/>
        <v>0</v>
      </c>
      <c r="J23" s="597">
        <f t="shared" si="1"/>
        <v>0</v>
      </c>
      <c r="K23" s="597" t="str">
        <f t="shared" si="2"/>
        <v/>
      </c>
    </row>
    <row r="24" spans="1:11" ht="26.1" customHeight="1" x14ac:dyDescent="0.25">
      <c r="A24" s="590"/>
      <c r="B24" s="567"/>
      <c r="C24" s="588"/>
      <c r="D24" s="588"/>
      <c r="E24" s="589"/>
      <c r="I24" s="597">
        <f t="shared" si="0"/>
        <v>0</v>
      </c>
      <c r="J24" s="597">
        <f t="shared" si="1"/>
        <v>0</v>
      </c>
      <c r="K24" s="597" t="str">
        <f t="shared" si="2"/>
        <v/>
      </c>
    </row>
    <row r="25" spans="1:11" ht="26.1" customHeight="1" x14ac:dyDescent="0.25">
      <c r="A25" s="590"/>
      <c r="B25" s="567"/>
      <c r="C25" s="588"/>
      <c r="D25" s="588"/>
      <c r="E25" s="589"/>
      <c r="I25" s="597">
        <f t="shared" si="0"/>
        <v>0</v>
      </c>
      <c r="J25" s="597">
        <f t="shared" si="1"/>
        <v>0</v>
      </c>
      <c r="K25" s="597" t="str">
        <f t="shared" si="2"/>
        <v/>
      </c>
    </row>
    <row r="26" spans="1:11" ht="26.1" customHeight="1" x14ac:dyDescent="0.25">
      <c r="A26" s="590"/>
      <c r="B26" s="567"/>
      <c r="C26" s="588"/>
      <c r="D26" s="588"/>
      <c r="E26" s="589"/>
      <c r="I26" s="597">
        <f t="shared" si="0"/>
        <v>0</v>
      </c>
      <c r="J26" s="597">
        <f t="shared" si="1"/>
        <v>0</v>
      </c>
      <c r="K26" s="597" t="str">
        <f t="shared" si="2"/>
        <v/>
      </c>
    </row>
    <row r="27" spans="1:11" ht="26.1" customHeight="1" x14ac:dyDescent="0.25">
      <c r="A27" s="590"/>
      <c r="B27" s="567"/>
      <c r="C27" s="588"/>
      <c r="D27" s="588"/>
      <c r="E27" s="589"/>
      <c r="I27" s="597">
        <f t="shared" si="0"/>
        <v>0</v>
      </c>
      <c r="J27" s="597">
        <f t="shared" si="1"/>
        <v>0</v>
      </c>
      <c r="K27" s="597" t="str">
        <f t="shared" si="2"/>
        <v/>
      </c>
    </row>
    <row r="28" spans="1:11" ht="26.1" customHeight="1" x14ac:dyDescent="0.25">
      <c r="A28" s="590"/>
      <c r="B28" s="567"/>
      <c r="C28" s="588"/>
      <c r="D28" s="588"/>
      <c r="E28" s="589"/>
      <c r="I28" s="597">
        <f t="shared" si="0"/>
        <v>0</v>
      </c>
      <c r="J28" s="597">
        <f t="shared" si="1"/>
        <v>0</v>
      </c>
      <c r="K28" s="597" t="str">
        <f t="shared" si="2"/>
        <v/>
      </c>
    </row>
    <row r="29" spans="1:11" ht="26.1" customHeight="1" x14ac:dyDescent="0.25">
      <c r="A29" s="590"/>
      <c r="B29" s="567"/>
      <c r="C29" s="588"/>
      <c r="D29" s="588"/>
      <c r="E29" s="589"/>
      <c r="I29" s="597">
        <f t="shared" si="0"/>
        <v>0</v>
      </c>
      <c r="J29" s="597">
        <f t="shared" si="1"/>
        <v>0</v>
      </c>
      <c r="K29" s="597" t="str">
        <f t="shared" si="2"/>
        <v/>
      </c>
    </row>
    <row r="30" spans="1:11" ht="26.1" customHeight="1" x14ac:dyDescent="0.25">
      <c r="A30" s="590"/>
      <c r="B30" s="567"/>
      <c r="C30" s="588"/>
      <c r="D30" s="588"/>
      <c r="E30" s="589"/>
      <c r="I30" s="597">
        <f t="shared" si="0"/>
        <v>0</v>
      </c>
      <c r="J30" s="597">
        <f t="shared" si="1"/>
        <v>0</v>
      </c>
      <c r="K30" s="597" t="str">
        <f t="shared" si="2"/>
        <v/>
      </c>
    </row>
    <row r="31" spans="1:11" ht="26.1" customHeight="1" x14ac:dyDescent="0.25">
      <c r="A31" s="590"/>
      <c r="B31" s="567"/>
      <c r="C31" s="588"/>
      <c r="D31" s="588"/>
      <c r="E31" s="589"/>
      <c r="I31" s="597">
        <f t="shared" si="0"/>
        <v>0</v>
      </c>
      <c r="J31" s="597">
        <f t="shared" si="1"/>
        <v>0</v>
      </c>
      <c r="K31" s="597" t="str">
        <f t="shared" si="2"/>
        <v/>
      </c>
    </row>
    <row r="32" spans="1:11" ht="26.1" customHeight="1" x14ac:dyDescent="0.25">
      <c r="A32" s="590"/>
      <c r="B32" s="567"/>
      <c r="C32" s="588"/>
      <c r="D32" s="588"/>
      <c r="E32" s="589"/>
      <c r="I32" s="597">
        <f t="shared" si="0"/>
        <v>0</v>
      </c>
      <c r="J32" s="597">
        <f t="shared" si="1"/>
        <v>0</v>
      </c>
      <c r="K32" s="597" t="str">
        <f t="shared" si="2"/>
        <v/>
      </c>
    </row>
    <row r="33" spans="1:11" ht="26.1" customHeight="1" x14ac:dyDescent="0.25">
      <c r="A33" s="590"/>
      <c r="B33" s="567"/>
      <c r="C33" s="588"/>
      <c r="D33" s="588"/>
      <c r="E33" s="589"/>
      <c r="I33" s="597">
        <f t="shared" si="0"/>
        <v>0</v>
      </c>
      <c r="J33" s="597">
        <f t="shared" si="1"/>
        <v>0</v>
      </c>
      <c r="K33" s="597" t="str">
        <f t="shared" si="2"/>
        <v/>
      </c>
    </row>
    <row r="34" spans="1:11" ht="26.1" customHeight="1" x14ac:dyDescent="0.25">
      <c r="A34" s="590"/>
      <c r="B34" s="567"/>
      <c r="C34" s="588"/>
      <c r="D34" s="588"/>
      <c r="E34" s="589"/>
      <c r="I34" s="597">
        <f t="shared" si="0"/>
        <v>0</v>
      </c>
      <c r="J34" s="597">
        <f t="shared" si="1"/>
        <v>0</v>
      </c>
      <c r="K34" s="597" t="str">
        <f t="shared" si="2"/>
        <v/>
      </c>
    </row>
    <row r="35" spans="1:11" ht="26.1" customHeight="1" x14ac:dyDescent="0.25">
      <c r="A35" s="590"/>
      <c r="B35" s="567"/>
      <c r="C35" s="588"/>
      <c r="D35" s="588"/>
      <c r="E35" s="589"/>
      <c r="I35" s="597">
        <f t="shared" si="0"/>
        <v>0</v>
      </c>
      <c r="J35" s="597">
        <f t="shared" si="1"/>
        <v>0</v>
      </c>
      <c r="K35" s="597" t="str">
        <f t="shared" si="2"/>
        <v/>
      </c>
    </row>
    <row r="36" spans="1:11" ht="26.1" customHeight="1" x14ac:dyDescent="0.25">
      <c r="A36" s="590"/>
      <c r="B36" s="567"/>
      <c r="C36" s="588"/>
      <c r="D36" s="588"/>
      <c r="E36" s="589"/>
      <c r="I36" s="597">
        <f t="shared" si="0"/>
        <v>0</v>
      </c>
      <c r="J36" s="597">
        <f t="shared" si="1"/>
        <v>0</v>
      </c>
      <c r="K36" s="597" t="str">
        <f t="shared" si="2"/>
        <v/>
      </c>
    </row>
    <row r="37" spans="1:11" ht="26.1" customHeight="1" x14ac:dyDescent="0.25">
      <c r="A37" s="590"/>
      <c r="B37" s="567"/>
      <c r="C37" s="588"/>
      <c r="D37" s="588"/>
      <c r="E37" s="589"/>
      <c r="I37" s="597">
        <f t="shared" si="0"/>
        <v>0</v>
      </c>
      <c r="J37" s="597">
        <f t="shared" si="1"/>
        <v>0</v>
      </c>
      <c r="K37" s="597" t="str">
        <f t="shared" si="2"/>
        <v/>
      </c>
    </row>
    <row r="38" spans="1:11" ht="26.1" customHeight="1" x14ac:dyDescent="0.25">
      <c r="A38" s="590"/>
      <c r="B38" s="567"/>
      <c r="C38" s="588"/>
      <c r="D38" s="588"/>
      <c r="E38" s="589"/>
      <c r="I38" s="597">
        <f t="shared" si="0"/>
        <v>0</v>
      </c>
      <c r="J38" s="597">
        <f t="shared" si="1"/>
        <v>0</v>
      </c>
      <c r="K38" s="597" t="str">
        <f t="shared" si="2"/>
        <v/>
      </c>
    </row>
    <row r="39" spans="1:11" ht="26.1" customHeight="1" x14ac:dyDescent="0.25">
      <c r="A39" s="590"/>
      <c r="B39" s="567"/>
      <c r="C39" s="588"/>
      <c r="D39" s="588"/>
      <c r="E39" s="589"/>
      <c r="I39" s="597">
        <f t="shared" si="0"/>
        <v>0</v>
      </c>
      <c r="J39" s="597">
        <f t="shared" si="1"/>
        <v>0</v>
      </c>
      <c r="K39" s="597" t="str">
        <f t="shared" si="2"/>
        <v/>
      </c>
    </row>
    <row r="40" spans="1:11" ht="26.1" customHeight="1" x14ac:dyDescent="0.25">
      <c r="A40" s="590"/>
      <c r="B40" s="567"/>
      <c r="C40" s="588"/>
      <c r="D40" s="588"/>
      <c r="E40" s="589"/>
      <c r="I40" s="597">
        <f t="shared" si="0"/>
        <v>0</v>
      </c>
      <c r="J40" s="597">
        <f t="shared" si="1"/>
        <v>0</v>
      </c>
      <c r="K40" s="597" t="str">
        <f t="shared" si="2"/>
        <v/>
      </c>
    </row>
    <row r="41" spans="1:11" ht="26.1" customHeight="1" x14ac:dyDescent="0.25">
      <c r="A41" s="590"/>
      <c r="B41" s="567"/>
      <c r="C41" s="588"/>
      <c r="D41" s="588"/>
      <c r="E41" s="589"/>
      <c r="I41" s="597">
        <f t="shared" si="0"/>
        <v>0</v>
      </c>
      <c r="J41" s="597">
        <f t="shared" si="1"/>
        <v>0</v>
      </c>
      <c r="K41" s="597" t="str">
        <f t="shared" si="2"/>
        <v/>
      </c>
    </row>
    <row r="42" spans="1:11" ht="26.1" customHeight="1" x14ac:dyDescent="0.25">
      <c r="A42" s="590"/>
      <c r="B42" s="567"/>
      <c r="C42" s="588"/>
      <c r="D42" s="588"/>
      <c r="E42" s="589"/>
      <c r="I42" s="597">
        <f t="shared" si="0"/>
        <v>0</v>
      </c>
      <c r="J42" s="597">
        <f t="shared" si="1"/>
        <v>0</v>
      </c>
      <c r="K42" s="597" t="str">
        <f t="shared" si="2"/>
        <v/>
      </c>
    </row>
    <row r="43" spans="1:11" ht="26.1" customHeight="1" x14ac:dyDescent="0.25">
      <c r="A43" s="590"/>
      <c r="B43" s="567"/>
      <c r="C43" s="588"/>
      <c r="D43" s="588"/>
      <c r="E43" s="589"/>
      <c r="I43" s="597">
        <f t="shared" si="0"/>
        <v>0</v>
      </c>
      <c r="J43" s="597">
        <f t="shared" si="1"/>
        <v>0</v>
      </c>
      <c r="K43" s="597" t="str">
        <f t="shared" si="2"/>
        <v/>
      </c>
    </row>
    <row r="44" spans="1:11" ht="26.1" customHeight="1" x14ac:dyDescent="0.25">
      <c r="A44" s="590"/>
      <c r="B44" s="567"/>
      <c r="C44" s="588"/>
      <c r="D44" s="588"/>
      <c r="E44" s="589"/>
      <c r="I44" s="597">
        <f t="shared" si="0"/>
        <v>0</v>
      </c>
      <c r="J44" s="597">
        <f t="shared" si="1"/>
        <v>0</v>
      </c>
      <c r="K44" s="597" t="str">
        <f t="shared" si="2"/>
        <v/>
      </c>
    </row>
    <row r="45" spans="1:11" ht="26.1" customHeight="1" x14ac:dyDescent="0.25">
      <c r="A45" s="590"/>
      <c r="B45" s="567"/>
      <c r="C45" s="588"/>
      <c r="D45" s="588"/>
      <c r="E45" s="589"/>
      <c r="I45" s="597">
        <f t="shared" si="0"/>
        <v>0</v>
      </c>
      <c r="J45" s="597">
        <f t="shared" si="1"/>
        <v>0</v>
      </c>
      <c r="K45" s="597" t="str">
        <f t="shared" si="2"/>
        <v/>
      </c>
    </row>
    <row r="46" spans="1:11" ht="26.1" customHeight="1" x14ac:dyDescent="0.25">
      <c r="A46" s="590"/>
      <c r="B46" s="567"/>
      <c r="C46" s="588"/>
      <c r="D46" s="588"/>
      <c r="E46" s="589"/>
      <c r="I46" s="597">
        <f t="shared" si="0"/>
        <v>0</v>
      </c>
      <c r="J46" s="597">
        <f t="shared" si="1"/>
        <v>0</v>
      </c>
      <c r="K46" s="597" t="str">
        <f t="shared" si="2"/>
        <v/>
      </c>
    </row>
    <row r="47" spans="1:11" ht="26.1" customHeight="1" x14ac:dyDescent="0.25">
      <c r="A47" s="590"/>
      <c r="B47" s="567"/>
      <c r="C47" s="588"/>
      <c r="D47" s="588"/>
      <c r="E47" s="589"/>
      <c r="I47" s="597">
        <f t="shared" si="0"/>
        <v>0</v>
      </c>
      <c r="J47" s="597">
        <f t="shared" si="1"/>
        <v>0</v>
      </c>
      <c r="K47" s="597" t="str">
        <f t="shared" si="2"/>
        <v/>
      </c>
    </row>
    <row r="48" spans="1:11" ht="26.1" customHeight="1" x14ac:dyDescent="0.25">
      <c r="A48" s="590"/>
      <c r="B48" s="567"/>
      <c r="C48" s="588"/>
      <c r="D48" s="588"/>
      <c r="E48" s="589"/>
      <c r="I48" s="597">
        <f t="shared" si="0"/>
        <v>0</v>
      </c>
      <c r="J48" s="597">
        <f t="shared" si="1"/>
        <v>0</v>
      </c>
      <c r="K48" s="597" t="str">
        <f t="shared" si="2"/>
        <v/>
      </c>
    </row>
    <row r="49" spans="1:11" ht="26.1" customHeight="1" x14ac:dyDescent="0.25">
      <c r="A49" s="590"/>
      <c r="B49" s="567"/>
      <c r="C49" s="588"/>
      <c r="D49" s="588"/>
      <c r="E49" s="589"/>
      <c r="I49" s="597">
        <f t="shared" si="0"/>
        <v>0</v>
      </c>
      <c r="J49" s="597">
        <f t="shared" si="1"/>
        <v>0</v>
      </c>
      <c r="K49" s="597" t="str">
        <f t="shared" si="2"/>
        <v/>
      </c>
    </row>
    <row r="50" spans="1:11" ht="26.1" customHeight="1" x14ac:dyDescent="0.25">
      <c r="A50" s="590"/>
      <c r="B50" s="567"/>
      <c r="C50" s="588"/>
      <c r="D50" s="588"/>
      <c r="E50" s="589"/>
      <c r="I50" s="597">
        <f t="shared" si="0"/>
        <v>0</v>
      </c>
      <c r="J50" s="597">
        <f t="shared" si="1"/>
        <v>0</v>
      </c>
      <c r="K50" s="597" t="str">
        <f t="shared" si="2"/>
        <v/>
      </c>
    </row>
    <row r="51" spans="1:11" ht="26.1" customHeight="1" x14ac:dyDescent="0.25">
      <c r="A51" s="590"/>
      <c r="B51" s="567"/>
      <c r="C51" s="588"/>
      <c r="D51" s="588"/>
      <c r="E51" s="589"/>
      <c r="I51" s="597">
        <f t="shared" si="0"/>
        <v>0</v>
      </c>
      <c r="J51" s="597">
        <f t="shared" si="1"/>
        <v>0</v>
      </c>
      <c r="K51" s="597" t="str">
        <f t="shared" si="2"/>
        <v/>
      </c>
    </row>
    <row r="52" spans="1:11" ht="26.1" customHeight="1" x14ac:dyDescent="0.25">
      <c r="A52" s="590"/>
      <c r="B52" s="567"/>
      <c r="C52" s="588"/>
      <c r="D52" s="588"/>
      <c r="E52" s="589"/>
      <c r="I52" s="597">
        <f t="shared" si="0"/>
        <v>0</v>
      </c>
      <c r="J52" s="597">
        <f t="shared" si="1"/>
        <v>0</v>
      </c>
      <c r="K52" s="597" t="str">
        <f t="shared" si="2"/>
        <v/>
      </c>
    </row>
    <row r="53" spans="1:11" ht="26.1" customHeight="1" x14ac:dyDescent="0.25">
      <c r="A53" s="590"/>
      <c r="B53" s="567"/>
      <c r="C53" s="588"/>
      <c r="D53" s="588"/>
      <c r="E53" s="589"/>
      <c r="I53" s="597">
        <f t="shared" si="0"/>
        <v>0</v>
      </c>
      <c r="J53" s="597">
        <f t="shared" si="1"/>
        <v>0</v>
      </c>
      <c r="K53" s="597" t="str">
        <f t="shared" si="2"/>
        <v/>
      </c>
    </row>
    <row r="54" spans="1:11" ht="26.1" customHeight="1" x14ac:dyDescent="0.25">
      <c r="A54" s="590"/>
      <c r="B54" s="567"/>
      <c r="C54" s="588"/>
      <c r="D54" s="588"/>
      <c r="E54" s="589"/>
      <c r="I54" s="597">
        <f t="shared" si="0"/>
        <v>0</v>
      </c>
      <c r="J54" s="597">
        <f t="shared" si="1"/>
        <v>0</v>
      </c>
      <c r="K54" s="597" t="str">
        <f t="shared" si="2"/>
        <v/>
      </c>
    </row>
    <row r="55" spans="1:11" ht="26.1" customHeight="1" x14ac:dyDescent="0.25">
      <c r="A55" s="590"/>
      <c r="B55" s="567"/>
      <c r="C55" s="588"/>
      <c r="D55" s="588"/>
      <c r="E55" s="589"/>
      <c r="I55" s="597">
        <f t="shared" si="0"/>
        <v>0</v>
      </c>
      <c r="J55" s="597">
        <f t="shared" si="1"/>
        <v>0</v>
      </c>
      <c r="K55" s="597" t="str">
        <f t="shared" si="2"/>
        <v/>
      </c>
    </row>
    <row r="56" spans="1:11" ht="26.1" customHeight="1" x14ac:dyDescent="0.25">
      <c r="A56" s="590"/>
      <c r="B56" s="567"/>
      <c r="C56" s="588"/>
      <c r="D56" s="588"/>
      <c r="E56" s="589"/>
      <c r="I56" s="597">
        <f t="shared" si="0"/>
        <v>0</v>
      </c>
      <c r="J56" s="597">
        <f t="shared" si="1"/>
        <v>0</v>
      </c>
      <c r="K56" s="597" t="str">
        <f t="shared" si="2"/>
        <v/>
      </c>
    </row>
    <row r="57" spans="1:11" ht="26.1" customHeight="1" x14ac:dyDescent="0.25">
      <c r="A57" s="590"/>
      <c r="B57" s="567"/>
      <c r="C57" s="588"/>
      <c r="D57" s="588"/>
      <c r="E57" s="589"/>
      <c r="I57" s="597">
        <f t="shared" si="0"/>
        <v>0</v>
      </c>
      <c r="J57" s="597">
        <f t="shared" si="1"/>
        <v>0</v>
      </c>
      <c r="K57" s="597" t="str">
        <f t="shared" si="2"/>
        <v/>
      </c>
    </row>
    <row r="58" spans="1:11" ht="26.1" customHeight="1" x14ac:dyDescent="0.25">
      <c r="A58" s="590"/>
      <c r="B58" s="567"/>
      <c r="C58" s="588"/>
      <c r="D58" s="588"/>
      <c r="E58" s="589"/>
      <c r="I58" s="597">
        <f t="shared" si="0"/>
        <v>0</v>
      </c>
      <c r="J58" s="597">
        <f t="shared" si="1"/>
        <v>0</v>
      </c>
      <c r="K58" s="597" t="str">
        <f t="shared" si="2"/>
        <v/>
      </c>
    </row>
    <row r="59" spans="1:11" ht="26.1" customHeight="1" x14ac:dyDescent="0.25">
      <c r="A59" s="590"/>
      <c r="B59" s="567"/>
      <c r="C59" s="588"/>
      <c r="D59" s="588"/>
      <c r="E59" s="589"/>
      <c r="I59" s="597">
        <f t="shared" si="0"/>
        <v>0</v>
      </c>
      <c r="J59" s="597">
        <f t="shared" si="1"/>
        <v>0</v>
      </c>
      <c r="K59" s="597" t="str">
        <f t="shared" si="2"/>
        <v/>
      </c>
    </row>
    <row r="60" spans="1:11" ht="26.1" customHeight="1" thickBot="1" x14ac:dyDescent="0.3">
      <c r="A60" s="591"/>
      <c r="B60" s="577"/>
      <c r="C60" s="592"/>
      <c r="D60" s="592"/>
      <c r="E60" s="593"/>
      <c r="I60" s="597">
        <f t="shared" si="0"/>
        <v>0</v>
      </c>
      <c r="J60" s="597">
        <f t="shared" si="1"/>
        <v>0</v>
      </c>
      <c r="K60" s="597" t="str">
        <f t="shared" si="2"/>
        <v/>
      </c>
    </row>
  </sheetData>
  <sheetProtection algorithmName="SHA-512" hashValue="yZRedGiTJrOoZzwCqXcpVzdPKsBnQ7ffrUmbmKMYQAnL63UpO8JakiV787zgF5mAYJqg4Uyn9LEPT62JUe4pgw==" saltValue="EGJoDEnx2T0RhE0r0ejIhw==" spinCount="100000" sheet="1" objects="1" scenarios="1" selectLockedCells="1"/>
  <mergeCells count="4">
    <mergeCell ref="A7:E7"/>
    <mergeCell ref="A9:A10"/>
    <mergeCell ref="B9:B10"/>
    <mergeCell ref="C9:E9"/>
  </mergeCells>
  <phoneticPr fontId="146" type="noConversion"/>
  <conditionalFormatting sqref="A11:E60">
    <cfRule type="expression" dxfId="185" priority="1" stopIfTrue="1">
      <formula>LEN(TRIM(A11))=0</formula>
    </cfRule>
  </conditionalFormatting>
  <conditionalFormatting sqref="D11:E11">
    <cfRule type="expression" dxfId="184" priority="2" stopIfTrue="1">
      <formula>LEN(TRIM(D11))=0</formula>
    </cfRule>
  </conditionalFormatting>
  <dataValidations count="2">
    <dataValidation type="textLength" allowBlank="1" showInputMessage="1" showErrorMessage="1" errorTitle="Zeichenlänge" error="Nur Texteingabe bis 200 Zeichen möglich." sqref="A11:B60" xr:uid="{00000000-0002-0000-0100-000000000000}">
      <formula1>2</formula1>
      <formula2>200</formula2>
    </dataValidation>
    <dataValidation type="whole" allowBlank="1" showInputMessage="1" showErrorMessage="1" errorTitle="Eingabefehler" error="Ganze Zahl zwischen 0 und 5000 eingeben." sqref="C11:E60" xr:uid="{00000000-0002-0000-0100-000001000000}">
      <formula1>0</formula1>
      <formula2>5000</formula2>
    </dataValidation>
  </dataValidations>
  <pageMargins left="0.7" right="0.7" top="0.75" bottom="0.75" header="0.3" footer="0.3"/>
  <pageSetup scale="56" orientation="portrait" r:id="rId1"/>
  <headerFooter>
    <oddFooter>&amp;L&amp;F&amp;C© DKG Alle Rechte vorbehalten&amp;R&amp;P</oddFooter>
  </headerFooter>
  <rowBreaks count="1" manualBreakCount="1">
    <brk id="45" max="4" man="1"/>
  </rowBreaks>
  <colBreaks count="1" manualBreakCount="1">
    <brk id="5"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
  <sheetViews>
    <sheetView workbookViewId="0">
      <selection activeCell="I16" sqref="I16"/>
    </sheetView>
  </sheetViews>
  <sheetFormatPr defaultColWidth="9.140625" defaultRowHeight="15" x14ac:dyDescent="0.25"/>
  <cols>
    <col min="1" max="1" width="36.7109375" bestFit="1" customWidth="1"/>
    <col min="2" max="2" width="16.42578125" bestFit="1" customWidth="1"/>
    <col min="3" max="3" width="47.5703125" bestFit="1" customWidth="1"/>
    <col min="4" max="4" width="34.85546875" customWidth="1"/>
    <col min="5" max="5" width="25.5703125" customWidth="1"/>
    <col min="6" max="13" width="9.140625" style="554"/>
  </cols>
  <sheetData>
    <row r="1" spans="1:13" s="562" customFormat="1" ht="52.5" customHeight="1" x14ac:dyDescent="0.25">
      <c r="A1" s="560" t="s">
        <v>953</v>
      </c>
      <c r="B1" s="560" t="s">
        <v>898</v>
      </c>
      <c r="C1" s="561" t="s">
        <v>900</v>
      </c>
      <c r="D1" s="561" t="s">
        <v>901</v>
      </c>
      <c r="E1" s="561" t="s">
        <v>902</v>
      </c>
      <c r="F1" s="583" t="s">
        <v>954</v>
      </c>
      <c r="G1" s="583" t="s">
        <v>955</v>
      </c>
      <c r="H1" s="583" t="s">
        <v>956</v>
      </c>
      <c r="I1" s="583" t="s">
        <v>957</v>
      </c>
      <c r="J1" s="583" t="s">
        <v>958</v>
      </c>
      <c r="K1" s="583" t="s">
        <v>959</v>
      </c>
      <c r="L1" s="583" t="s">
        <v>960</v>
      </c>
      <c r="M1" s="583" t="s">
        <v>961</v>
      </c>
    </row>
    <row r="2" spans="1:13" x14ac:dyDescent="0.25">
      <c r="A2" s="563" t="str">
        <f>IF(AND(SUM(Studien!I11:J11)=2,Studien!K11&lt;&gt;0),Studien!A11,"")</f>
        <v/>
      </c>
      <c r="B2" s="563" t="str">
        <f>IF(AND(SUM(Studien!I11:J11)=2,Studien!K11&lt;&gt;0),Studien!B11,"")</f>
        <v/>
      </c>
      <c r="C2" s="563" t="str">
        <f>IF(AND(SUM(Studien!I11:J11)=2,Studien!K11&lt;&gt;0),Studien!C11,"")</f>
        <v/>
      </c>
      <c r="D2" s="563" t="str">
        <f>IF(AND(SUM(Studien!I11:J11)=2,Studien!K11&lt;&gt;0),Studien!D11,"")</f>
        <v/>
      </c>
      <c r="E2" s="563" t="str">
        <f>IF(AND(SUM(Studien!I11:J11)=2,Studien!K11&lt;&gt;0),Studien!E11,"")</f>
        <v/>
      </c>
      <c r="F2" s="584"/>
      <c r="G2" s="584"/>
      <c r="H2" s="584"/>
      <c r="I2" s="584"/>
      <c r="J2" s="584"/>
      <c r="K2" s="584"/>
      <c r="L2" s="584"/>
      <c r="M2" s="584"/>
    </row>
    <row r="3" spans="1:13" x14ac:dyDescent="0.25">
      <c r="A3" s="563" t="str">
        <f>IF(AND(SUM(Studien!I12:J12)=2,Studien!K12&lt;&gt;0),Studien!A12,"")</f>
        <v/>
      </c>
      <c r="B3" s="563" t="str">
        <f>IF(AND(SUM(Studien!I12:J12)=2,Studien!K12&lt;&gt;0),Studien!B12,"")</f>
        <v/>
      </c>
      <c r="C3" s="563" t="str">
        <f>IF(AND(SUM(Studien!I12:J12)=2,Studien!K12&lt;&gt;0),Studien!C12,"")</f>
        <v/>
      </c>
      <c r="D3" s="563" t="str">
        <f>IF(AND(SUM(Studien!I12:J12)=2,Studien!K12&lt;&gt;0),Studien!D12,"")</f>
        <v/>
      </c>
      <c r="E3" s="563" t="str">
        <f>IF(AND(SUM(Studien!I12:J12)=2,Studien!K12&lt;&gt;0),Studien!E12,"")</f>
        <v/>
      </c>
      <c r="F3" s="584"/>
      <c r="G3" s="584"/>
      <c r="H3" s="584"/>
      <c r="I3" s="584"/>
      <c r="J3" s="584"/>
      <c r="K3" s="584"/>
      <c r="L3" s="584"/>
      <c r="M3" s="584"/>
    </row>
    <row r="4" spans="1:13" x14ac:dyDescent="0.25">
      <c r="A4" s="563" t="str">
        <f>IF(AND(SUM(Studien!I13:J13)=2,Studien!K13&lt;&gt;0),Studien!A13,"")</f>
        <v/>
      </c>
      <c r="B4" s="563" t="str">
        <f>IF(AND(SUM(Studien!I13:J13)=2,Studien!K13&lt;&gt;0),Studien!B13,"")</f>
        <v/>
      </c>
      <c r="C4" s="563" t="str">
        <f>IF(AND(SUM(Studien!I13:J13)=2,Studien!K13&lt;&gt;0),Studien!C13,"")</f>
        <v/>
      </c>
      <c r="D4" s="563" t="str">
        <f>IF(AND(SUM(Studien!I13:J13)=2,Studien!K13&lt;&gt;0),Studien!D13,"")</f>
        <v/>
      </c>
      <c r="E4" s="563" t="str">
        <f>IF(AND(SUM(Studien!I13:J13)=2,Studien!K13&lt;&gt;0),Studien!E13,"")</f>
        <v/>
      </c>
      <c r="F4" s="584"/>
      <c r="G4" s="584"/>
      <c r="H4" s="584"/>
      <c r="I4" s="584"/>
      <c r="J4" s="584"/>
      <c r="K4" s="584"/>
      <c r="L4" s="584"/>
      <c r="M4" s="584"/>
    </row>
    <row r="5" spans="1:13" x14ac:dyDescent="0.25">
      <c r="A5" s="563" t="str">
        <f>IF(AND(SUM(Studien!I14:J14)=2,Studien!K14&lt;&gt;0),Studien!A14,"")</f>
        <v/>
      </c>
      <c r="B5" s="563" t="str">
        <f>IF(AND(SUM(Studien!I14:J14)=2,Studien!K14&lt;&gt;0),Studien!B14,"")</f>
        <v/>
      </c>
      <c r="C5" s="563" t="str">
        <f>IF(AND(SUM(Studien!I14:J14)=2,Studien!K14&lt;&gt;0),Studien!C14,"")</f>
        <v/>
      </c>
      <c r="D5" s="563" t="str">
        <f>IF(AND(SUM(Studien!I14:J14)=2,Studien!K14&lt;&gt;0),Studien!D14,"")</f>
        <v/>
      </c>
      <c r="E5" s="563" t="str">
        <f>IF(AND(SUM(Studien!I14:J14)=2,Studien!K14&lt;&gt;0),Studien!E14,"")</f>
        <v/>
      </c>
      <c r="F5" s="584"/>
      <c r="G5" s="584"/>
      <c r="H5" s="584"/>
      <c r="I5" s="584"/>
      <c r="J5" s="584"/>
      <c r="K5" s="584"/>
      <c r="L5" s="584"/>
      <c r="M5" s="584"/>
    </row>
    <row r="6" spans="1:13" x14ac:dyDescent="0.25">
      <c r="A6" s="563" t="str">
        <f>IF(AND(SUM(Studien!I15:J15)=2,Studien!K15&lt;&gt;0),Studien!A15,"")</f>
        <v/>
      </c>
      <c r="B6" s="563" t="str">
        <f>IF(AND(SUM(Studien!I15:J15)=2,Studien!K15&lt;&gt;0),Studien!B15,"")</f>
        <v/>
      </c>
      <c r="C6" s="563" t="str">
        <f>IF(AND(SUM(Studien!I15:J15)=2,Studien!K15&lt;&gt;0),Studien!C15,"")</f>
        <v/>
      </c>
      <c r="D6" s="563" t="str">
        <f>IF(AND(SUM(Studien!I15:J15)=2,Studien!K15&lt;&gt;0),Studien!D15,"")</f>
        <v/>
      </c>
      <c r="E6" s="563" t="str">
        <f>IF(AND(SUM(Studien!I15:J15)=2,Studien!K15&lt;&gt;0),Studien!E15,"")</f>
        <v/>
      </c>
      <c r="F6" s="584"/>
      <c r="G6" s="584"/>
      <c r="H6" s="584"/>
      <c r="I6" s="584"/>
      <c r="J6" s="584"/>
      <c r="K6" s="584"/>
      <c r="L6" s="584"/>
      <c r="M6" s="584"/>
    </row>
    <row r="7" spans="1:13" x14ac:dyDescent="0.25">
      <c r="A7" s="563" t="str">
        <f>IF(AND(SUM(Studien!I16:J16)=2,Studien!K16&lt;&gt;0),Studien!A16,"")</f>
        <v/>
      </c>
      <c r="B7" s="563" t="str">
        <f>IF(AND(SUM(Studien!I16:J16)=2,Studien!K16&lt;&gt;0),Studien!B16,"")</f>
        <v/>
      </c>
      <c r="C7" s="563" t="str">
        <f>IF(AND(SUM(Studien!I16:J16)=2,Studien!K16&lt;&gt;0),Studien!C16,"")</f>
        <v/>
      </c>
      <c r="D7" s="563" t="str">
        <f>IF(AND(SUM(Studien!I16:J16)=2,Studien!K16&lt;&gt;0),Studien!D16,"")</f>
        <v/>
      </c>
      <c r="E7" s="563" t="str">
        <f>IF(AND(SUM(Studien!I16:J16)=2,Studien!K16&lt;&gt;0),Studien!E16,"")</f>
        <v/>
      </c>
      <c r="F7" s="584"/>
      <c r="G7" s="584"/>
      <c r="H7" s="584"/>
      <c r="I7" s="584"/>
      <c r="J7" s="584"/>
      <c r="K7" s="584"/>
      <c r="L7" s="584"/>
      <c r="M7" s="584"/>
    </row>
    <row r="8" spans="1:13" x14ac:dyDescent="0.25">
      <c r="A8" s="563" t="str">
        <f>IF(AND(SUM(Studien!I17:J17)=2,Studien!K17&lt;&gt;0),Studien!A17,"")</f>
        <v/>
      </c>
      <c r="B8" s="563" t="str">
        <f>IF(AND(SUM(Studien!I17:J17)=2,Studien!K17&lt;&gt;0),Studien!B17,"")</f>
        <v/>
      </c>
      <c r="C8" s="563" t="str">
        <f>IF(AND(SUM(Studien!I17:J17)=2,Studien!K17&lt;&gt;0),Studien!C17,"")</f>
        <v/>
      </c>
      <c r="D8" s="563" t="str">
        <f>IF(AND(SUM(Studien!I17:J17)=2,Studien!K17&lt;&gt;0),Studien!D17,"")</f>
        <v/>
      </c>
      <c r="E8" s="563" t="str">
        <f>IF(AND(SUM(Studien!I17:J17)=2,Studien!K17&lt;&gt;0),Studien!E17,"")</f>
        <v/>
      </c>
      <c r="F8" s="584"/>
      <c r="G8" s="584"/>
      <c r="H8" s="584"/>
      <c r="I8" s="584"/>
      <c r="J8" s="584"/>
      <c r="K8" s="584"/>
      <c r="L8" s="584"/>
      <c r="M8" s="584"/>
    </row>
    <row r="9" spans="1:13" x14ac:dyDescent="0.25">
      <c r="A9" s="563" t="str">
        <f>IF(AND(SUM(Studien!I18:J18)=2,Studien!K18&lt;&gt;0),Studien!A18,"")</f>
        <v/>
      </c>
      <c r="B9" s="563" t="str">
        <f>IF(AND(SUM(Studien!I18:J18)=2,Studien!K18&lt;&gt;0),Studien!B18,"")</f>
        <v/>
      </c>
      <c r="C9" s="563" t="str">
        <f>IF(AND(SUM(Studien!I18:J18)=2,Studien!K18&lt;&gt;0),Studien!C18,"")</f>
        <v/>
      </c>
      <c r="D9" s="563" t="str">
        <f>IF(AND(SUM(Studien!I18:J18)=2,Studien!K18&lt;&gt;0),Studien!D18,"")</f>
        <v/>
      </c>
      <c r="E9" s="563" t="str">
        <f>IF(AND(SUM(Studien!I18:J18)=2,Studien!K18&lt;&gt;0),Studien!E18,"")</f>
        <v/>
      </c>
      <c r="F9" s="584"/>
      <c r="G9" s="584"/>
      <c r="H9" s="584"/>
      <c r="I9" s="584"/>
      <c r="J9" s="584"/>
      <c r="K9" s="584"/>
      <c r="L9" s="584"/>
      <c r="M9" s="584"/>
    </row>
    <row r="10" spans="1:13" x14ac:dyDescent="0.25">
      <c r="A10" s="563" t="str">
        <f>IF(AND(SUM(Studien!I19:J19)=2,Studien!K19&lt;&gt;0),Studien!A19,"")</f>
        <v/>
      </c>
      <c r="B10" s="563" t="str">
        <f>IF(AND(SUM(Studien!I19:J19)=2,Studien!K19&lt;&gt;0),Studien!B19,"")</f>
        <v/>
      </c>
      <c r="C10" s="563" t="str">
        <f>IF(AND(SUM(Studien!I19:J19)=2,Studien!K19&lt;&gt;0),Studien!C19,"")</f>
        <v/>
      </c>
      <c r="D10" s="563" t="str">
        <f>IF(AND(SUM(Studien!I19:J19)=2,Studien!K19&lt;&gt;0),Studien!D19,"")</f>
        <v/>
      </c>
      <c r="E10" s="563" t="str">
        <f>IF(AND(SUM(Studien!I19:J19)=2,Studien!K19&lt;&gt;0),Studien!E19,"")</f>
        <v/>
      </c>
      <c r="F10" s="584"/>
      <c r="G10" s="584"/>
      <c r="H10" s="584"/>
      <c r="I10" s="584"/>
      <c r="J10" s="584"/>
      <c r="K10" s="584"/>
      <c r="L10" s="584"/>
      <c r="M10" s="584"/>
    </row>
    <row r="11" spans="1:13" x14ac:dyDescent="0.25">
      <c r="A11" s="563" t="str">
        <f>IF(AND(SUM(Studien!I20:J20)=2,Studien!K20&lt;&gt;0),Studien!A20,"")</f>
        <v/>
      </c>
      <c r="B11" s="563" t="str">
        <f>IF(AND(SUM(Studien!I20:J20)=2,Studien!K20&lt;&gt;0),Studien!B20,"")</f>
        <v/>
      </c>
      <c r="C11" s="563" t="str">
        <f>IF(AND(SUM(Studien!I20:J20)=2,Studien!K20&lt;&gt;0),Studien!C20,"")</f>
        <v/>
      </c>
      <c r="D11" s="563" t="str">
        <f>IF(AND(SUM(Studien!I20:J20)=2,Studien!K20&lt;&gt;0),Studien!D20,"")</f>
        <v/>
      </c>
      <c r="E11" s="563" t="str">
        <f>IF(AND(SUM(Studien!I20:J20)=2,Studien!K20&lt;&gt;0),Studien!E20,"")</f>
        <v/>
      </c>
      <c r="F11" s="584"/>
      <c r="G11" s="584"/>
      <c r="H11" s="584"/>
      <c r="I11" s="584"/>
      <c r="J11" s="584"/>
      <c r="K11" s="584"/>
      <c r="L11" s="584"/>
      <c r="M11" s="584"/>
    </row>
    <row r="12" spans="1:13" x14ac:dyDescent="0.25">
      <c r="A12" s="563" t="str">
        <f>IF(AND(SUM(Studien!I21:J21)=2,Studien!K21&lt;&gt;0),Studien!A21,"")</f>
        <v/>
      </c>
      <c r="B12" s="563" t="str">
        <f>IF(AND(SUM(Studien!I21:J21)=2,Studien!K21&lt;&gt;0),Studien!B21,"")</f>
        <v/>
      </c>
      <c r="C12" s="563" t="str">
        <f>IF(AND(SUM(Studien!I21:J21)=2,Studien!K21&lt;&gt;0),Studien!C21,"")</f>
        <v/>
      </c>
      <c r="D12" s="563" t="str">
        <f>IF(AND(SUM(Studien!I21:J21)=2,Studien!K21&lt;&gt;0),Studien!D21,"")</f>
        <v/>
      </c>
      <c r="E12" s="563" t="str">
        <f>IF(AND(SUM(Studien!I21:J21)=2,Studien!K21&lt;&gt;0),Studien!E21,"")</f>
        <v/>
      </c>
      <c r="F12" s="584"/>
      <c r="G12" s="584"/>
      <c r="H12" s="584"/>
      <c r="I12" s="584"/>
      <c r="J12" s="584"/>
      <c r="K12" s="584"/>
      <c r="L12" s="584"/>
      <c r="M12" s="584"/>
    </row>
    <row r="13" spans="1:13" x14ac:dyDescent="0.25">
      <c r="A13" s="563" t="str">
        <f>IF(AND(SUM(Studien!I22:J22)=2,Studien!K22&lt;&gt;0),Studien!A22,"")</f>
        <v/>
      </c>
      <c r="B13" s="563" t="str">
        <f>IF(AND(SUM(Studien!I22:J22)=2,Studien!K22&lt;&gt;0),Studien!B22,"")</f>
        <v/>
      </c>
      <c r="C13" s="563" t="str">
        <f>IF(AND(SUM(Studien!I22:J22)=2,Studien!K22&lt;&gt;0),Studien!C22,"")</f>
        <v/>
      </c>
      <c r="D13" s="563" t="str">
        <f>IF(AND(SUM(Studien!I22:J22)=2,Studien!K22&lt;&gt;0),Studien!D22,"")</f>
        <v/>
      </c>
      <c r="E13" s="563" t="str">
        <f>IF(AND(SUM(Studien!I22:J22)=2,Studien!K22&lt;&gt;0),Studien!E22,"")</f>
        <v/>
      </c>
      <c r="F13" s="584"/>
      <c r="G13" s="584"/>
      <c r="H13" s="584"/>
      <c r="I13" s="584"/>
      <c r="J13" s="584"/>
      <c r="K13" s="584"/>
      <c r="L13" s="584"/>
      <c r="M13" s="584"/>
    </row>
    <row r="14" spans="1:13" x14ac:dyDescent="0.25">
      <c r="A14" s="563" t="str">
        <f>IF(AND(SUM(Studien!I23:J23)=2,Studien!K23&lt;&gt;0),Studien!A23,"")</f>
        <v/>
      </c>
      <c r="B14" s="563" t="str">
        <f>IF(AND(SUM(Studien!I23:J23)=2,Studien!K23&lt;&gt;0),Studien!B23,"")</f>
        <v/>
      </c>
      <c r="C14" s="563" t="str">
        <f>IF(AND(SUM(Studien!I23:J23)=2,Studien!K23&lt;&gt;0),Studien!C23,"")</f>
        <v/>
      </c>
      <c r="D14" s="563" t="str">
        <f>IF(AND(SUM(Studien!I23:J23)=2,Studien!K23&lt;&gt;0),Studien!D23,"")</f>
        <v/>
      </c>
      <c r="E14" s="563" t="str">
        <f>IF(AND(SUM(Studien!I23:J23)=2,Studien!K23&lt;&gt;0),Studien!E23,"")</f>
        <v/>
      </c>
      <c r="F14" s="584"/>
      <c r="G14" s="584"/>
      <c r="H14" s="584"/>
      <c r="I14" s="584"/>
      <c r="J14" s="584"/>
      <c r="K14" s="584"/>
      <c r="L14" s="584"/>
      <c r="M14" s="584"/>
    </row>
    <row r="15" spans="1:13" x14ac:dyDescent="0.25">
      <c r="A15" s="563" t="str">
        <f>IF(AND(SUM(Studien!I24:J24)=2,Studien!K24&lt;&gt;0),Studien!A24,"")</f>
        <v/>
      </c>
      <c r="B15" s="563" t="str">
        <f>IF(AND(SUM(Studien!I24:J24)=2,Studien!K24&lt;&gt;0),Studien!B24,"")</f>
        <v/>
      </c>
      <c r="C15" s="563" t="str">
        <f>IF(AND(SUM(Studien!I24:J24)=2,Studien!K24&lt;&gt;0),Studien!C24,"")</f>
        <v/>
      </c>
      <c r="D15" s="563" t="str">
        <f>IF(AND(SUM(Studien!I24:J24)=2,Studien!K24&lt;&gt;0),Studien!D24,"")</f>
        <v/>
      </c>
      <c r="E15" s="563" t="str">
        <f>IF(AND(SUM(Studien!I24:J24)=2,Studien!K24&lt;&gt;0),Studien!E24,"")</f>
        <v/>
      </c>
      <c r="F15" s="584"/>
      <c r="G15" s="584"/>
      <c r="H15" s="584"/>
      <c r="I15" s="584"/>
      <c r="J15" s="584"/>
      <c r="K15" s="584"/>
      <c r="L15" s="584"/>
      <c r="M15" s="584"/>
    </row>
    <row r="16" spans="1:13" x14ac:dyDescent="0.25">
      <c r="A16" s="563" t="str">
        <f>IF(AND(SUM(Studien!I25:J25)=2,Studien!K25&lt;&gt;0),Studien!A25,"")</f>
        <v/>
      </c>
      <c r="B16" s="563" t="str">
        <f>IF(AND(SUM(Studien!I25:J25)=2,Studien!K25&lt;&gt;0),Studien!B25,"")</f>
        <v/>
      </c>
      <c r="C16" s="563" t="str">
        <f>IF(AND(SUM(Studien!I25:J25)=2,Studien!K25&lt;&gt;0),Studien!C25,"")</f>
        <v/>
      </c>
      <c r="D16" s="563" t="str">
        <f>IF(AND(SUM(Studien!I25:J25)=2,Studien!K25&lt;&gt;0),Studien!D25,"")</f>
        <v/>
      </c>
      <c r="E16" s="563" t="str">
        <f>IF(AND(SUM(Studien!I25:J25)=2,Studien!K25&lt;&gt;0),Studien!E25,"")</f>
        <v/>
      </c>
      <c r="F16" s="584"/>
      <c r="G16" s="584"/>
      <c r="H16" s="584"/>
      <c r="I16" s="584"/>
      <c r="J16" s="584"/>
      <c r="K16" s="584"/>
      <c r="L16" s="584"/>
      <c r="M16" s="584"/>
    </row>
    <row r="17" spans="1:13" x14ac:dyDescent="0.25">
      <c r="A17" s="563" t="str">
        <f>IF(AND(SUM(Studien!I26:J26)=2,Studien!K26&lt;&gt;0),Studien!A26,"")</f>
        <v/>
      </c>
      <c r="B17" s="563" t="str">
        <f>IF(AND(SUM(Studien!I26:J26)=2,Studien!K26&lt;&gt;0),Studien!B26,"")</f>
        <v/>
      </c>
      <c r="C17" s="563" t="str">
        <f>IF(AND(SUM(Studien!I26:J26)=2,Studien!K26&lt;&gt;0),Studien!C26,"")</f>
        <v/>
      </c>
      <c r="D17" s="563" t="str">
        <f>IF(AND(SUM(Studien!I26:J26)=2,Studien!K26&lt;&gt;0),Studien!D26,"")</f>
        <v/>
      </c>
      <c r="E17" s="563" t="str">
        <f>IF(AND(SUM(Studien!I26:J26)=2,Studien!K26&lt;&gt;0),Studien!E26,"")</f>
        <v/>
      </c>
      <c r="F17" s="584"/>
      <c r="G17" s="584"/>
      <c r="H17" s="584"/>
      <c r="I17" s="584"/>
      <c r="J17" s="584"/>
      <c r="K17" s="584"/>
      <c r="L17" s="584"/>
      <c r="M17" s="584"/>
    </row>
    <row r="18" spans="1:13" x14ac:dyDescent="0.25">
      <c r="A18" s="563" t="str">
        <f>IF(AND(SUM(Studien!I27:J27)=2,Studien!K27&lt;&gt;0),Studien!A27,"")</f>
        <v/>
      </c>
      <c r="B18" s="563" t="str">
        <f>IF(AND(SUM(Studien!I27:J27)=2,Studien!K27&lt;&gt;0),Studien!B27,"")</f>
        <v/>
      </c>
      <c r="C18" s="563" t="str">
        <f>IF(AND(SUM(Studien!I27:J27)=2,Studien!K27&lt;&gt;0),Studien!C27,"")</f>
        <v/>
      </c>
      <c r="D18" s="563" t="str">
        <f>IF(AND(SUM(Studien!I27:J27)=2,Studien!K27&lt;&gt;0),Studien!D27,"")</f>
        <v/>
      </c>
      <c r="E18" s="563" t="str">
        <f>IF(AND(SUM(Studien!I27:J27)=2,Studien!K27&lt;&gt;0),Studien!E27,"")</f>
        <v/>
      </c>
      <c r="F18" s="584"/>
      <c r="G18" s="584"/>
      <c r="H18" s="584"/>
      <c r="I18" s="584"/>
      <c r="J18" s="584"/>
      <c r="K18" s="584"/>
      <c r="L18" s="584"/>
      <c r="M18" s="584"/>
    </row>
    <row r="19" spans="1:13" x14ac:dyDescent="0.25">
      <c r="A19" s="563" t="str">
        <f>IF(AND(SUM(Studien!I28:J28)=2,Studien!K28&lt;&gt;0),Studien!A28,"")</f>
        <v/>
      </c>
      <c r="B19" s="563" t="str">
        <f>IF(AND(SUM(Studien!I28:J28)=2,Studien!K28&lt;&gt;0),Studien!B28,"")</f>
        <v/>
      </c>
      <c r="C19" s="563" t="str">
        <f>IF(AND(SUM(Studien!I28:J28)=2,Studien!K28&lt;&gt;0),Studien!C28,"")</f>
        <v/>
      </c>
      <c r="D19" s="563" t="str">
        <f>IF(AND(SUM(Studien!I28:J28)=2,Studien!K28&lt;&gt;0),Studien!D28,"")</f>
        <v/>
      </c>
      <c r="E19" s="563" t="str">
        <f>IF(AND(SUM(Studien!I28:J28)=2,Studien!K28&lt;&gt;0),Studien!E28,"")</f>
        <v/>
      </c>
      <c r="F19" s="584"/>
      <c r="G19" s="584"/>
      <c r="H19" s="584"/>
      <c r="I19" s="584"/>
      <c r="J19" s="584"/>
      <c r="K19" s="584"/>
      <c r="L19" s="584"/>
      <c r="M19" s="584"/>
    </row>
    <row r="20" spans="1:13" x14ac:dyDescent="0.25">
      <c r="A20" s="563" t="str">
        <f>IF(AND(SUM(Studien!I29:J29)=2,Studien!K29&lt;&gt;0),Studien!A29,"")</f>
        <v/>
      </c>
      <c r="B20" s="563" t="str">
        <f>IF(AND(SUM(Studien!I29:J29)=2,Studien!K29&lt;&gt;0),Studien!B29,"")</f>
        <v/>
      </c>
      <c r="C20" s="563" t="str">
        <f>IF(AND(SUM(Studien!I29:J29)=2,Studien!K29&lt;&gt;0),Studien!C29,"")</f>
        <v/>
      </c>
      <c r="D20" s="563" t="str">
        <f>IF(AND(SUM(Studien!I29:J29)=2,Studien!K29&lt;&gt;0),Studien!D29,"")</f>
        <v/>
      </c>
      <c r="E20" s="563" t="str">
        <f>IF(AND(SUM(Studien!I29:J29)=2,Studien!K29&lt;&gt;0),Studien!E29,"")</f>
        <v/>
      </c>
      <c r="F20" s="584"/>
      <c r="G20" s="584"/>
      <c r="H20" s="584"/>
      <c r="I20" s="584"/>
      <c r="J20" s="584"/>
      <c r="K20" s="584"/>
      <c r="L20" s="584"/>
      <c r="M20" s="584"/>
    </row>
    <row r="21" spans="1:13" x14ac:dyDescent="0.25">
      <c r="A21" s="563" t="str">
        <f>IF(AND(SUM(Studien!I30:J30)=2,Studien!K30&lt;&gt;0),Studien!A30,"")</f>
        <v/>
      </c>
      <c r="B21" s="563" t="str">
        <f>IF(AND(SUM(Studien!I30:J30)=2,Studien!K30&lt;&gt;0),Studien!B30,"")</f>
        <v/>
      </c>
      <c r="C21" s="563" t="str">
        <f>IF(AND(SUM(Studien!I30:J30)=2,Studien!K30&lt;&gt;0),Studien!C30,"")</f>
        <v/>
      </c>
      <c r="D21" s="563" t="str">
        <f>IF(AND(SUM(Studien!I30:J30)=2,Studien!K30&lt;&gt;0),Studien!D30,"")</f>
        <v/>
      </c>
      <c r="E21" s="563" t="str">
        <f>IF(AND(SUM(Studien!I30:J30)=2,Studien!K30&lt;&gt;0),Studien!E30,"")</f>
        <v/>
      </c>
      <c r="F21" s="584"/>
      <c r="G21" s="584"/>
      <c r="H21" s="584"/>
      <c r="I21" s="584"/>
      <c r="J21" s="584"/>
      <c r="K21" s="584"/>
      <c r="L21" s="584"/>
      <c r="M21" s="584"/>
    </row>
    <row r="22" spans="1:13" x14ac:dyDescent="0.25">
      <c r="A22" s="563" t="str">
        <f>IF(AND(SUM(Studien!I31:J31)=2,Studien!K31&lt;&gt;0),Studien!A31,"")</f>
        <v/>
      </c>
      <c r="B22" s="563" t="str">
        <f>IF(AND(SUM(Studien!I31:J31)=2,Studien!K31&lt;&gt;0),Studien!B31,"")</f>
        <v/>
      </c>
      <c r="C22" s="563" t="str">
        <f>IF(AND(SUM(Studien!I31:J31)=2,Studien!K31&lt;&gt;0),Studien!C31,"")</f>
        <v/>
      </c>
      <c r="D22" s="563" t="str">
        <f>IF(AND(SUM(Studien!I31:J31)=2,Studien!K31&lt;&gt;0),Studien!D31,"")</f>
        <v/>
      </c>
      <c r="E22" s="563" t="str">
        <f>IF(AND(SUM(Studien!I31:J31)=2,Studien!K31&lt;&gt;0),Studien!E31,"")</f>
        <v/>
      </c>
      <c r="F22" s="584"/>
      <c r="G22" s="584"/>
      <c r="H22" s="584"/>
      <c r="I22" s="584"/>
      <c r="J22" s="584"/>
      <c r="K22" s="584"/>
      <c r="L22" s="584"/>
      <c r="M22" s="584"/>
    </row>
    <row r="23" spans="1:13" x14ac:dyDescent="0.25">
      <c r="A23" s="563" t="str">
        <f>IF(AND(SUM(Studien!I32:J32)=2,Studien!K32&lt;&gt;0),Studien!A32,"")</f>
        <v/>
      </c>
      <c r="B23" s="563" t="str">
        <f>IF(AND(SUM(Studien!I32:J32)=2,Studien!K32&lt;&gt;0),Studien!B32,"")</f>
        <v/>
      </c>
      <c r="C23" s="563" t="str">
        <f>IF(AND(SUM(Studien!I32:J32)=2,Studien!K32&lt;&gt;0),Studien!C32,"")</f>
        <v/>
      </c>
      <c r="D23" s="563" t="str">
        <f>IF(AND(SUM(Studien!I32:J32)=2,Studien!K32&lt;&gt;0),Studien!D32,"")</f>
        <v/>
      </c>
      <c r="E23" s="563" t="str">
        <f>IF(AND(SUM(Studien!I32:J32)=2,Studien!K32&lt;&gt;0),Studien!E32,"")</f>
        <v/>
      </c>
      <c r="F23" s="584"/>
      <c r="G23" s="584"/>
      <c r="H23" s="584"/>
      <c r="I23" s="584"/>
      <c r="J23" s="584"/>
      <c r="K23" s="584"/>
      <c r="L23" s="584"/>
      <c r="M23" s="584"/>
    </row>
    <row r="24" spans="1:13" x14ac:dyDescent="0.25">
      <c r="A24" s="563" t="str">
        <f>IF(AND(SUM(Studien!I33:J33)=2,Studien!K33&lt;&gt;0),Studien!A33,"")</f>
        <v/>
      </c>
      <c r="B24" s="563" t="str">
        <f>IF(AND(SUM(Studien!I33:J33)=2,Studien!K33&lt;&gt;0),Studien!B33,"")</f>
        <v/>
      </c>
      <c r="C24" s="563" t="str">
        <f>IF(AND(SUM(Studien!I33:J33)=2,Studien!K33&lt;&gt;0),Studien!C33,"")</f>
        <v/>
      </c>
      <c r="D24" s="563" t="str">
        <f>IF(AND(SUM(Studien!I33:J33)=2,Studien!K33&lt;&gt;0),Studien!D33,"")</f>
        <v/>
      </c>
      <c r="E24" s="563" t="str">
        <f>IF(AND(SUM(Studien!I33:J33)=2,Studien!K33&lt;&gt;0),Studien!E33,"")</f>
        <v/>
      </c>
      <c r="F24" s="584"/>
      <c r="G24" s="584"/>
      <c r="H24" s="584"/>
      <c r="I24" s="584"/>
      <c r="J24" s="584"/>
      <c r="K24" s="584"/>
      <c r="L24" s="584"/>
      <c r="M24" s="584"/>
    </row>
    <row r="25" spans="1:13" x14ac:dyDescent="0.25">
      <c r="A25" s="563" t="str">
        <f>IF(AND(SUM(Studien!I34:J34)=2,Studien!K34&lt;&gt;0),Studien!A34,"")</f>
        <v/>
      </c>
      <c r="B25" s="563" t="str">
        <f>IF(AND(SUM(Studien!I34:J34)=2,Studien!K34&lt;&gt;0),Studien!B34,"")</f>
        <v/>
      </c>
      <c r="C25" s="563" t="str">
        <f>IF(AND(SUM(Studien!I34:J34)=2,Studien!K34&lt;&gt;0),Studien!C34,"")</f>
        <v/>
      </c>
      <c r="D25" s="563" t="str">
        <f>IF(AND(SUM(Studien!I34:J34)=2,Studien!K34&lt;&gt;0),Studien!D34,"")</f>
        <v/>
      </c>
      <c r="E25" s="563" t="str">
        <f>IF(AND(SUM(Studien!I34:J34)=2,Studien!K34&lt;&gt;0),Studien!E34,"")</f>
        <v/>
      </c>
      <c r="F25" s="584"/>
      <c r="G25" s="584"/>
      <c r="H25" s="584"/>
      <c r="I25" s="584"/>
      <c r="J25" s="584"/>
      <c r="K25" s="584"/>
      <c r="L25" s="584"/>
      <c r="M25" s="584"/>
    </row>
    <row r="26" spans="1:13" x14ac:dyDescent="0.25">
      <c r="A26" s="563" t="str">
        <f>IF(AND(SUM(Studien!I35:J35)=2,Studien!K35&lt;&gt;0),Studien!A35,"")</f>
        <v/>
      </c>
      <c r="B26" s="563" t="str">
        <f>IF(AND(SUM(Studien!I35:J35)=2,Studien!K35&lt;&gt;0),Studien!B35,"")</f>
        <v/>
      </c>
      <c r="C26" s="563" t="str">
        <f>IF(AND(SUM(Studien!I35:J35)=2,Studien!K35&lt;&gt;0),Studien!C35,"")</f>
        <v/>
      </c>
      <c r="D26" s="563" t="str">
        <f>IF(AND(SUM(Studien!I35:J35)=2,Studien!K35&lt;&gt;0),Studien!D35,"")</f>
        <v/>
      </c>
      <c r="E26" s="563" t="str">
        <f>IF(AND(SUM(Studien!I35:J35)=2,Studien!K35&lt;&gt;0),Studien!E35,"")</f>
        <v/>
      </c>
      <c r="F26" s="584"/>
      <c r="G26" s="584"/>
      <c r="H26" s="584"/>
      <c r="I26" s="584"/>
      <c r="J26" s="584"/>
      <c r="K26" s="584"/>
      <c r="L26" s="584"/>
      <c r="M26" s="584"/>
    </row>
    <row r="27" spans="1:13" x14ac:dyDescent="0.25">
      <c r="A27" s="563" t="str">
        <f>IF(AND(SUM(Studien!I36:J36)=2,Studien!K36&lt;&gt;0),Studien!A36,"")</f>
        <v/>
      </c>
      <c r="B27" s="563" t="str">
        <f>IF(AND(SUM(Studien!I36:J36)=2,Studien!K36&lt;&gt;0),Studien!B36,"")</f>
        <v/>
      </c>
      <c r="C27" s="563" t="str">
        <f>IF(AND(SUM(Studien!I36:J36)=2,Studien!K36&lt;&gt;0),Studien!C36,"")</f>
        <v/>
      </c>
      <c r="D27" s="563" t="str">
        <f>IF(AND(SUM(Studien!I36:J36)=2,Studien!K36&lt;&gt;0),Studien!D36,"")</f>
        <v/>
      </c>
      <c r="E27" s="563" t="str">
        <f>IF(AND(SUM(Studien!I36:J36)=2,Studien!K36&lt;&gt;0),Studien!E36,"")</f>
        <v/>
      </c>
      <c r="F27" s="584"/>
      <c r="G27" s="584"/>
      <c r="H27" s="584"/>
      <c r="I27" s="584"/>
      <c r="J27" s="584"/>
      <c r="K27" s="584"/>
      <c r="L27" s="584"/>
      <c r="M27" s="584"/>
    </row>
    <row r="28" spans="1:13" x14ac:dyDescent="0.25">
      <c r="A28" s="563" t="str">
        <f>IF(AND(SUM(Studien!I37:J37)=2,Studien!K37&lt;&gt;0),Studien!A37,"")</f>
        <v/>
      </c>
      <c r="B28" s="563" t="str">
        <f>IF(AND(SUM(Studien!I37:J37)=2,Studien!K37&lt;&gt;0),Studien!B37,"")</f>
        <v/>
      </c>
      <c r="C28" s="563" t="str">
        <f>IF(AND(SUM(Studien!I37:J37)=2,Studien!K37&lt;&gt;0),Studien!C37,"")</f>
        <v/>
      </c>
      <c r="D28" s="563" t="str">
        <f>IF(AND(SUM(Studien!I37:J37)=2,Studien!K37&lt;&gt;0),Studien!D37,"")</f>
        <v/>
      </c>
      <c r="E28" s="563" t="str">
        <f>IF(AND(SUM(Studien!I37:J37)=2,Studien!K37&lt;&gt;0),Studien!E37,"")</f>
        <v/>
      </c>
      <c r="F28" s="584"/>
      <c r="G28" s="584"/>
      <c r="H28" s="584"/>
      <c r="I28" s="584"/>
      <c r="J28" s="584"/>
      <c r="K28" s="584"/>
      <c r="L28" s="584"/>
      <c r="M28" s="584"/>
    </row>
    <row r="29" spans="1:13" x14ac:dyDescent="0.25">
      <c r="A29" s="563" t="str">
        <f>IF(AND(SUM(Studien!I38:J38)=2,Studien!K38&lt;&gt;0),Studien!A38,"")</f>
        <v/>
      </c>
      <c r="B29" s="563" t="str">
        <f>IF(AND(SUM(Studien!I38:J38)=2,Studien!K38&lt;&gt;0),Studien!B38,"")</f>
        <v/>
      </c>
      <c r="C29" s="563" t="str">
        <f>IF(AND(SUM(Studien!I38:J38)=2,Studien!K38&lt;&gt;0),Studien!C38,"")</f>
        <v/>
      </c>
      <c r="D29" s="563" t="str">
        <f>IF(AND(SUM(Studien!I38:J38)=2,Studien!K38&lt;&gt;0),Studien!D38,"")</f>
        <v/>
      </c>
      <c r="E29" s="563" t="str">
        <f>IF(AND(SUM(Studien!I38:J38)=2,Studien!K38&lt;&gt;0),Studien!E38,"")</f>
        <v/>
      </c>
      <c r="F29" s="584"/>
      <c r="G29" s="584"/>
      <c r="H29" s="584"/>
      <c r="I29" s="584"/>
      <c r="J29" s="584"/>
      <c r="K29" s="584"/>
      <c r="L29" s="584"/>
      <c r="M29" s="584"/>
    </row>
    <row r="30" spans="1:13" x14ac:dyDescent="0.25">
      <c r="A30" s="563" t="str">
        <f>IF(AND(SUM(Studien!I39:J39)=2,Studien!K39&lt;&gt;0),Studien!A39,"")</f>
        <v/>
      </c>
      <c r="B30" s="563" t="str">
        <f>IF(AND(SUM(Studien!I39:J39)=2,Studien!K39&lt;&gt;0),Studien!B39,"")</f>
        <v/>
      </c>
      <c r="C30" s="563" t="str">
        <f>IF(AND(SUM(Studien!I39:J39)=2,Studien!K39&lt;&gt;0),Studien!C39,"")</f>
        <v/>
      </c>
      <c r="D30" s="563" t="str">
        <f>IF(AND(SUM(Studien!I39:J39)=2,Studien!K39&lt;&gt;0),Studien!D39,"")</f>
        <v/>
      </c>
      <c r="E30" s="563" t="str">
        <f>IF(AND(SUM(Studien!I39:J39)=2,Studien!K39&lt;&gt;0),Studien!E39,"")</f>
        <v/>
      </c>
      <c r="F30" s="584"/>
      <c r="G30" s="584"/>
      <c r="H30" s="584"/>
      <c r="I30" s="584"/>
      <c r="J30" s="584"/>
      <c r="K30" s="584"/>
      <c r="L30" s="584"/>
      <c r="M30" s="584"/>
    </row>
    <row r="31" spans="1:13" x14ac:dyDescent="0.25">
      <c r="A31" s="563" t="str">
        <f>IF(AND(SUM(Studien!I40:J40)=2,Studien!K40&lt;&gt;0),Studien!A40,"")</f>
        <v/>
      </c>
      <c r="B31" s="563" t="str">
        <f>IF(AND(SUM(Studien!I40:J40)=2,Studien!K40&lt;&gt;0),Studien!B40,"")</f>
        <v/>
      </c>
      <c r="C31" s="563" t="str">
        <f>IF(AND(SUM(Studien!I40:J40)=2,Studien!K40&lt;&gt;0),Studien!C40,"")</f>
        <v/>
      </c>
      <c r="D31" s="563" t="str">
        <f>IF(AND(SUM(Studien!I40:J40)=2,Studien!K40&lt;&gt;0),Studien!D40,"")</f>
        <v/>
      </c>
      <c r="E31" s="563" t="str">
        <f>IF(AND(SUM(Studien!I40:J40)=2,Studien!K40&lt;&gt;0),Studien!E40,"")</f>
        <v/>
      </c>
      <c r="F31" s="584"/>
      <c r="G31" s="584"/>
      <c r="H31" s="584"/>
      <c r="I31" s="584"/>
      <c r="J31" s="584"/>
      <c r="K31" s="584"/>
      <c r="L31" s="584"/>
      <c r="M31" s="584"/>
    </row>
    <row r="32" spans="1:13" x14ac:dyDescent="0.25">
      <c r="A32" s="563" t="str">
        <f>IF(AND(SUM(Studien!I41:J41)=2,Studien!K41&lt;&gt;0),Studien!A41,"")</f>
        <v/>
      </c>
      <c r="B32" s="563" t="str">
        <f>IF(AND(SUM(Studien!I41:J41)=2,Studien!K41&lt;&gt;0),Studien!B41,"")</f>
        <v/>
      </c>
      <c r="C32" s="563" t="str">
        <f>IF(AND(SUM(Studien!I41:J41)=2,Studien!K41&lt;&gt;0),Studien!C41,"")</f>
        <v/>
      </c>
      <c r="D32" s="563" t="str">
        <f>IF(AND(SUM(Studien!I41:J41)=2,Studien!K41&lt;&gt;0),Studien!D41,"")</f>
        <v/>
      </c>
      <c r="E32" s="563" t="str">
        <f>IF(AND(SUM(Studien!I41:J41)=2,Studien!K41&lt;&gt;0),Studien!E41,"")</f>
        <v/>
      </c>
      <c r="F32" s="584"/>
      <c r="G32" s="584"/>
      <c r="H32" s="584"/>
      <c r="I32" s="584"/>
      <c r="J32" s="584"/>
      <c r="K32" s="584"/>
      <c r="L32" s="584"/>
      <c r="M32" s="584"/>
    </row>
    <row r="33" spans="1:13" x14ac:dyDescent="0.25">
      <c r="A33" s="563" t="str">
        <f>IF(AND(SUM(Studien!I42:J42)=2,Studien!K42&lt;&gt;0),Studien!A42,"")</f>
        <v/>
      </c>
      <c r="B33" s="563" t="str">
        <f>IF(AND(SUM(Studien!I42:J42)=2,Studien!K42&lt;&gt;0),Studien!B42,"")</f>
        <v/>
      </c>
      <c r="C33" s="563" t="str">
        <f>IF(AND(SUM(Studien!I42:J42)=2,Studien!K42&lt;&gt;0),Studien!C42,"")</f>
        <v/>
      </c>
      <c r="D33" s="563" t="str">
        <f>IF(AND(SUM(Studien!I42:J42)=2,Studien!K42&lt;&gt;0),Studien!D42,"")</f>
        <v/>
      </c>
      <c r="E33" s="563" t="str">
        <f>IF(AND(SUM(Studien!I42:J42)=2,Studien!K42&lt;&gt;0),Studien!E42,"")</f>
        <v/>
      </c>
      <c r="F33" s="584"/>
      <c r="G33" s="584"/>
      <c r="H33" s="584"/>
      <c r="I33" s="584"/>
      <c r="J33" s="584"/>
      <c r="K33" s="584"/>
      <c r="L33" s="584"/>
      <c r="M33" s="584"/>
    </row>
    <row r="34" spans="1:13" x14ac:dyDescent="0.25">
      <c r="A34" s="563" t="str">
        <f>IF(AND(SUM(Studien!I43:J43)=2,Studien!K43&lt;&gt;0),Studien!A43,"")</f>
        <v/>
      </c>
      <c r="B34" s="563" t="str">
        <f>IF(AND(SUM(Studien!I43:J43)=2,Studien!K43&lt;&gt;0),Studien!B43,"")</f>
        <v/>
      </c>
      <c r="C34" s="563" t="str">
        <f>IF(AND(SUM(Studien!I43:J43)=2,Studien!K43&lt;&gt;0),Studien!C43,"")</f>
        <v/>
      </c>
      <c r="D34" s="563" t="str">
        <f>IF(AND(SUM(Studien!I43:J43)=2,Studien!K43&lt;&gt;0),Studien!D43,"")</f>
        <v/>
      </c>
      <c r="E34" s="563" t="str">
        <f>IF(AND(SUM(Studien!I43:J43)=2,Studien!K43&lt;&gt;0),Studien!E43,"")</f>
        <v/>
      </c>
      <c r="F34" s="584"/>
      <c r="G34" s="584"/>
      <c r="H34" s="584"/>
      <c r="I34" s="584"/>
      <c r="J34" s="584"/>
      <c r="K34" s="584"/>
      <c r="L34" s="584"/>
      <c r="M34" s="584"/>
    </row>
    <row r="35" spans="1:13" x14ac:dyDescent="0.25">
      <c r="A35" s="563" t="str">
        <f>IF(AND(SUM(Studien!I44:J44)=2,Studien!K44&lt;&gt;0),Studien!A44,"")</f>
        <v/>
      </c>
      <c r="B35" s="563" t="str">
        <f>IF(AND(SUM(Studien!I44:J44)=2,Studien!K44&lt;&gt;0),Studien!B44,"")</f>
        <v/>
      </c>
      <c r="C35" s="563" t="str">
        <f>IF(AND(SUM(Studien!I44:J44)=2,Studien!K44&lt;&gt;0),Studien!C44,"")</f>
        <v/>
      </c>
      <c r="D35" s="563" t="str">
        <f>IF(AND(SUM(Studien!I44:J44)=2,Studien!K44&lt;&gt;0),Studien!D44,"")</f>
        <v/>
      </c>
      <c r="E35" s="563" t="str">
        <f>IF(AND(SUM(Studien!I44:J44)=2,Studien!K44&lt;&gt;0),Studien!E44,"")</f>
        <v/>
      </c>
      <c r="F35" s="584"/>
      <c r="G35" s="584"/>
      <c r="H35" s="584"/>
      <c r="I35" s="584"/>
      <c r="J35" s="584"/>
      <c r="K35" s="584"/>
      <c r="L35" s="584"/>
      <c r="M35" s="584"/>
    </row>
    <row r="36" spans="1:13" x14ac:dyDescent="0.25">
      <c r="A36" s="563" t="str">
        <f>IF(AND(SUM(Studien!I45:J45)=2,Studien!K45&lt;&gt;0),Studien!A45,"")</f>
        <v/>
      </c>
      <c r="B36" s="563" t="str">
        <f>IF(AND(SUM(Studien!I45:J45)=2,Studien!K45&lt;&gt;0),Studien!B45,"")</f>
        <v/>
      </c>
      <c r="C36" s="563" t="str">
        <f>IF(AND(SUM(Studien!I45:J45)=2,Studien!K45&lt;&gt;0),Studien!C45,"")</f>
        <v/>
      </c>
      <c r="D36" s="563" t="str">
        <f>IF(AND(SUM(Studien!I45:J45)=2,Studien!K45&lt;&gt;0),Studien!D45,"")</f>
        <v/>
      </c>
      <c r="E36" s="563" t="str">
        <f>IF(AND(SUM(Studien!I45:J45)=2,Studien!K45&lt;&gt;0),Studien!E45,"")</f>
        <v/>
      </c>
      <c r="F36" s="584"/>
      <c r="G36" s="584"/>
      <c r="H36" s="584"/>
      <c r="I36" s="584"/>
      <c r="J36" s="584"/>
      <c r="K36" s="584"/>
      <c r="L36" s="584"/>
      <c r="M36" s="584"/>
    </row>
    <row r="37" spans="1:13" x14ac:dyDescent="0.25">
      <c r="A37" s="563" t="str">
        <f>IF(AND(SUM(Studien!I46:J46)=2,Studien!K46&lt;&gt;0),Studien!A46,"")</f>
        <v/>
      </c>
      <c r="B37" s="563" t="str">
        <f>IF(AND(SUM(Studien!I46:J46)=2,Studien!K46&lt;&gt;0),Studien!B46,"")</f>
        <v/>
      </c>
      <c r="C37" s="563" t="str">
        <f>IF(AND(SUM(Studien!I46:J46)=2,Studien!K46&lt;&gt;0),Studien!C46,"")</f>
        <v/>
      </c>
      <c r="D37" s="563" t="str">
        <f>IF(AND(SUM(Studien!I46:J46)=2,Studien!K46&lt;&gt;0),Studien!D46,"")</f>
        <v/>
      </c>
      <c r="E37" s="563" t="str">
        <f>IF(AND(SUM(Studien!I46:J46)=2,Studien!K46&lt;&gt;0),Studien!E46,"")</f>
        <v/>
      </c>
      <c r="F37" s="584"/>
      <c r="G37" s="584"/>
      <c r="H37" s="584"/>
      <c r="I37" s="584"/>
      <c r="J37" s="584"/>
      <c r="K37" s="584"/>
      <c r="L37" s="584"/>
      <c r="M37" s="584"/>
    </row>
    <row r="38" spans="1:13" x14ac:dyDescent="0.25">
      <c r="A38" s="563" t="str">
        <f>IF(AND(SUM(Studien!I47:J47)=2,Studien!K47&lt;&gt;0),Studien!A47,"")</f>
        <v/>
      </c>
      <c r="B38" s="563" t="str">
        <f>IF(AND(SUM(Studien!I47:J47)=2,Studien!K47&lt;&gt;0),Studien!B47,"")</f>
        <v/>
      </c>
      <c r="C38" s="563" t="str">
        <f>IF(AND(SUM(Studien!I47:J47)=2,Studien!K47&lt;&gt;0),Studien!C47,"")</f>
        <v/>
      </c>
      <c r="D38" s="563" t="str">
        <f>IF(AND(SUM(Studien!I47:J47)=2,Studien!K47&lt;&gt;0),Studien!D47,"")</f>
        <v/>
      </c>
      <c r="E38" s="563" t="str">
        <f>IF(AND(SUM(Studien!I47:J47)=2,Studien!K47&lt;&gt;0),Studien!E47,"")</f>
        <v/>
      </c>
      <c r="F38" s="584"/>
      <c r="G38" s="584"/>
      <c r="H38" s="584"/>
      <c r="I38" s="584"/>
      <c r="J38" s="584"/>
      <c r="K38" s="584"/>
      <c r="L38" s="584"/>
      <c r="M38" s="584"/>
    </row>
    <row r="39" spans="1:13" x14ac:dyDescent="0.25">
      <c r="A39" s="563" t="str">
        <f>IF(AND(SUM(Studien!I48:J48)=2,Studien!K48&lt;&gt;0),Studien!A48,"")</f>
        <v/>
      </c>
      <c r="B39" s="563" t="str">
        <f>IF(AND(SUM(Studien!I48:J48)=2,Studien!K48&lt;&gt;0),Studien!B48,"")</f>
        <v/>
      </c>
      <c r="C39" s="563" t="str">
        <f>IF(AND(SUM(Studien!I48:J48)=2,Studien!K48&lt;&gt;0),Studien!C48,"")</f>
        <v/>
      </c>
      <c r="D39" s="563" t="str">
        <f>IF(AND(SUM(Studien!I48:J48)=2,Studien!K48&lt;&gt;0),Studien!D48,"")</f>
        <v/>
      </c>
      <c r="E39" s="563" t="str">
        <f>IF(AND(SUM(Studien!I48:J48)=2,Studien!K48&lt;&gt;0),Studien!E48,"")</f>
        <v/>
      </c>
      <c r="F39" s="584"/>
      <c r="G39" s="584"/>
      <c r="H39" s="584"/>
      <c r="I39" s="584"/>
      <c r="J39" s="584"/>
      <c r="K39" s="584"/>
      <c r="L39" s="584"/>
      <c r="M39" s="584"/>
    </row>
    <row r="40" spans="1:13" x14ac:dyDescent="0.25">
      <c r="A40" s="563" t="str">
        <f>IF(AND(SUM(Studien!I49:J49)=2,Studien!K49&lt;&gt;0),Studien!A49,"")</f>
        <v/>
      </c>
      <c r="B40" s="563" t="str">
        <f>IF(AND(SUM(Studien!I49:J49)=2,Studien!K49&lt;&gt;0),Studien!B49,"")</f>
        <v/>
      </c>
      <c r="C40" s="563" t="str">
        <f>IF(AND(SUM(Studien!I49:J49)=2,Studien!K49&lt;&gt;0),Studien!C49,"")</f>
        <v/>
      </c>
      <c r="D40" s="563" t="str">
        <f>IF(AND(SUM(Studien!I49:J49)=2,Studien!K49&lt;&gt;0),Studien!D49,"")</f>
        <v/>
      </c>
      <c r="E40" s="563" t="str">
        <f>IF(AND(SUM(Studien!I49:J49)=2,Studien!K49&lt;&gt;0),Studien!E49,"")</f>
        <v/>
      </c>
      <c r="F40" s="584"/>
      <c r="G40" s="584"/>
      <c r="H40" s="584"/>
      <c r="I40" s="584"/>
      <c r="J40" s="584"/>
      <c r="K40" s="584"/>
      <c r="L40" s="584"/>
      <c r="M40" s="584"/>
    </row>
    <row r="41" spans="1:13" x14ac:dyDescent="0.25">
      <c r="A41" s="563" t="str">
        <f>IF(AND(SUM(Studien!I50:J50)=2,Studien!K50&lt;&gt;0),Studien!A50,"")</f>
        <v/>
      </c>
      <c r="B41" s="563" t="str">
        <f>IF(AND(SUM(Studien!I50:J50)=2,Studien!K50&lt;&gt;0),Studien!B50,"")</f>
        <v/>
      </c>
      <c r="C41" s="563" t="str">
        <f>IF(AND(SUM(Studien!I50:J50)=2,Studien!K50&lt;&gt;0),Studien!C50,"")</f>
        <v/>
      </c>
      <c r="D41" s="563" t="str">
        <f>IF(AND(SUM(Studien!I50:J50)=2,Studien!K50&lt;&gt;0),Studien!D50,"")</f>
        <v/>
      </c>
      <c r="E41" s="563" t="str">
        <f>IF(AND(SUM(Studien!I50:J50)=2,Studien!K50&lt;&gt;0),Studien!E50,"")</f>
        <v/>
      </c>
      <c r="F41" s="584"/>
      <c r="G41" s="584"/>
      <c r="H41" s="584"/>
      <c r="I41" s="584"/>
      <c r="J41" s="584"/>
      <c r="K41" s="584"/>
      <c r="L41" s="584"/>
      <c r="M41" s="584"/>
    </row>
    <row r="42" spans="1:13" x14ac:dyDescent="0.25">
      <c r="A42" s="563" t="str">
        <f>IF(AND(SUM(Studien!I51:J51)=2,Studien!K51&lt;&gt;0),Studien!A51,"")</f>
        <v/>
      </c>
      <c r="B42" s="563" t="str">
        <f>IF(AND(SUM(Studien!I51:J51)=2,Studien!K51&lt;&gt;0),Studien!B51,"")</f>
        <v/>
      </c>
      <c r="C42" s="563" t="str">
        <f>IF(AND(SUM(Studien!I51:J51)=2,Studien!K51&lt;&gt;0),Studien!C51,"")</f>
        <v/>
      </c>
      <c r="D42" s="563" t="str">
        <f>IF(AND(SUM(Studien!I51:J51)=2,Studien!K51&lt;&gt;0),Studien!D51,"")</f>
        <v/>
      </c>
      <c r="E42" s="563" t="str">
        <f>IF(AND(SUM(Studien!I51:J51)=2,Studien!K51&lt;&gt;0),Studien!E51,"")</f>
        <v/>
      </c>
      <c r="F42" s="584"/>
      <c r="G42" s="584"/>
      <c r="H42" s="584"/>
      <c r="I42" s="584"/>
      <c r="J42" s="584"/>
      <c r="K42" s="584"/>
      <c r="L42" s="584"/>
      <c r="M42" s="584"/>
    </row>
    <row r="43" spans="1:13" x14ac:dyDescent="0.25">
      <c r="A43" s="563" t="str">
        <f>IF(AND(SUM(Studien!I52:J52)=2,Studien!K52&lt;&gt;0),Studien!A52,"")</f>
        <v/>
      </c>
      <c r="B43" s="563" t="str">
        <f>IF(AND(SUM(Studien!I52:J52)=2,Studien!K52&lt;&gt;0),Studien!B52,"")</f>
        <v/>
      </c>
      <c r="C43" s="563" t="str">
        <f>IF(AND(SUM(Studien!I52:J52)=2,Studien!K52&lt;&gt;0),Studien!C52,"")</f>
        <v/>
      </c>
      <c r="D43" s="563" t="str">
        <f>IF(AND(SUM(Studien!I52:J52)=2,Studien!K52&lt;&gt;0),Studien!D52,"")</f>
        <v/>
      </c>
      <c r="E43" s="563" t="str">
        <f>IF(AND(SUM(Studien!I52:J52)=2,Studien!K52&lt;&gt;0),Studien!E52,"")</f>
        <v/>
      </c>
      <c r="F43" s="584"/>
      <c r="G43" s="584"/>
      <c r="H43" s="584"/>
      <c r="I43" s="584"/>
      <c r="J43" s="584"/>
      <c r="K43" s="584"/>
      <c r="L43" s="584"/>
      <c r="M43" s="584"/>
    </row>
    <row r="44" spans="1:13" x14ac:dyDescent="0.25">
      <c r="A44" s="563" t="str">
        <f>IF(AND(SUM(Studien!I53:J53)=2,Studien!K53&lt;&gt;0),Studien!A53,"")</f>
        <v/>
      </c>
      <c r="B44" s="563" t="str">
        <f>IF(AND(SUM(Studien!I53:J53)=2,Studien!K53&lt;&gt;0),Studien!B53,"")</f>
        <v/>
      </c>
      <c r="C44" s="563" t="str">
        <f>IF(AND(SUM(Studien!I53:J53)=2,Studien!K53&lt;&gt;0),Studien!C53,"")</f>
        <v/>
      </c>
      <c r="D44" s="563" t="str">
        <f>IF(AND(SUM(Studien!I53:J53)=2,Studien!K53&lt;&gt;0),Studien!D53,"")</f>
        <v/>
      </c>
      <c r="E44" s="563" t="str">
        <f>IF(AND(SUM(Studien!I53:J53)=2,Studien!K53&lt;&gt;0),Studien!E53,"")</f>
        <v/>
      </c>
      <c r="F44" s="584"/>
      <c r="G44" s="584"/>
      <c r="H44" s="584"/>
      <c r="I44" s="584"/>
      <c r="J44" s="584"/>
      <c r="K44" s="584"/>
      <c r="L44" s="584"/>
      <c r="M44" s="584"/>
    </row>
    <row r="45" spans="1:13" x14ac:dyDescent="0.25">
      <c r="A45" s="563" t="str">
        <f>IF(AND(SUM(Studien!I54:J54)=2,Studien!K54&lt;&gt;0),Studien!A54,"")</f>
        <v/>
      </c>
      <c r="B45" s="563" t="str">
        <f>IF(AND(SUM(Studien!I54:J54)=2,Studien!K54&lt;&gt;0),Studien!B54,"")</f>
        <v/>
      </c>
      <c r="C45" s="563" t="str">
        <f>IF(AND(SUM(Studien!I54:J54)=2,Studien!K54&lt;&gt;0),Studien!C54,"")</f>
        <v/>
      </c>
      <c r="D45" s="563" t="str">
        <f>IF(AND(SUM(Studien!I54:J54)=2,Studien!K54&lt;&gt;0),Studien!D54,"")</f>
        <v/>
      </c>
      <c r="E45" s="563" t="str">
        <f>IF(AND(SUM(Studien!I54:J54)=2,Studien!K54&lt;&gt;0),Studien!E54,"")</f>
        <v/>
      </c>
      <c r="F45" s="584"/>
      <c r="G45" s="584"/>
      <c r="H45" s="584"/>
      <c r="I45" s="584"/>
      <c r="J45" s="584"/>
      <c r="K45" s="584"/>
      <c r="L45" s="584"/>
      <c r="M45" s="584"/>
    </row>
    <row r="46" spans="1:13" x14ac:dyDescent="0.25">
      <c r="A46" s="563" t="str">
        <f>IF(AND(SUM(Studien!I55:J55)=2,Studien!K55&lt;&gt;0),Studien!A55,"")</f>
        <v/>
      </c>
      <c r="B46" s="563" t="str">
        <f>IF(AND(SUM(Studien!I55:J55)=2,Studien!K55&lt;&gt;0),Studien!B55,"")</f>
        <v/>
      </c>
      <c r="C46" s="563" t="str">
        <f>IF(AND(SUM(Studien!I55:J55)=2,Studien!K55&lt;&gt;0),Studien!C55,"")</f>
        <v/>
      </c>
      <c r="D46" s="563" t="str">
        <f>IF(AND(SUM(Studien!I55:J55)=2,Studien!K55&lt;&gt;0),Studien!D55,"")</f>
        <v/>
      </c>
      <c r="E46" s="563" t="str">
        <f>IF(AND(SUM(Studien!I55:J55)=2,Studien!K55&lt;&gt;0),Studien!E55,"")</f>
        <v/>
      </c>
      <c r="F46" s="584"/>
      <c r="G46" s="584"/>
      <c r="H46" s="584"/>
      <c r="I46" s="584"/>
      <c r="J46" s="584"/>
      <c r="K46" s="584"/>
      <c r="L46" s="584"/>
      <c r="M46" s="584"/>
    </row>
    <row r="47" spans="1:13" x14ac:dyDescent="0.25">
      <c r="A47" s="563" t="str">
        <f>IF(AND(SUM(Studien!I56:J56)=2,Studien!K56&lt;&gt;0),Studien!A56,"")</f>
        <v/>
      </c>
      <c r="B47" s="563" t="str">
        <f>IF(AND(SUM(Studien!I56:J56)=2,Studien!K56&lt;&gt;0),Studien!B56,"")</f>
        <v/>
      </c>
      <c r="C47" s="563" t="str">
        <f>IF(AND(SUM(Studien!I56:J56)=2,Studien!K56&lt;&gt;0),Studien!C56,"")</f>
        <v/>
      </c>
      <c r="D47" s="563" t="str">
        <f>IF(AND(SUM(Studien!I56:J56)=2,Studien!K56&lt;&gt;0),Studien!D56,"")</f>
        <v/>
      </c>
      <c r="E47" s="563" t="str">
        <f>IF(AND(SUM(Studien!I56:J56)=2,Studien!K56&lt;&gt;0),Studien!E56,"")</f>
        <v/>
      </c>
      <c r="F47" s="584"/>
      <c r="G47" s="584"/>
      <c r="H47" s="584"/>
      <c r="I47" s="584"/>
      <c r="J47" s="584"/>
      <c r="K47" s="584"/>
      <c r="L47" s="584"/>
      <c r="M47" s="584"/>
    </row>
    <row r="48" spans="1:13" x14ac:dyDescent="0.25">
      <c r="A48" s="563" t="str">
        <f>IF(AND(SUM(Studien!I57:J57)=2,Studien!K57&lt;&gt;0),Studien!A57,"")</f>
        <v/>
      </c>
      <c r="B48" s="563" t="str">
        <f>IF(AND(SUM(Studien!I57:J57)=2,Studien!K57&lt;&gt;0),Studien!B57,"")</f>
        <v/>
      </c>
      <c r="C48" s="563" t="str">
        <f>IF(AND(SUM(Studien!I57:J57)=2,Studien!K57&lt;&gt;0),Studien!C57,"")</f>
        <v/>
      </c>
      <c r="D48" s="563" t="str">
        <f>IF(AND(SUM(Studien!I57:J57)=2,Studien!K57&lt;&gt;0),Studien!D57,"")</f>
        <v/>
      </c>
      <c r="E48" s="563" t="str">
        <f>IF(AND(SUM(Studien!I57:J57)=2,Studien!K57&lt;&gt;0),Studien!E57,"")</f>
        <v/>
      </c>
      <c r="F48" s="584"/>
      <c r="G48" s="584"/>
      <c r="H48" s="584"/>
      <c r="I48" s="584"/>
      <c r="J48" s="584"/>
      <c r="K48" s="584"/>
      <c r="L48" s="584"/>
      <c r="M48" s="584"/>
    </row>
    <row r="49" spans="1:13" x14ac:dyDescent="0.25">
      <c r="A49" s="563" t="str">
        <f>IF(AND(SUM(Studien!I58:J58)=2,Studien!K58&lt;&gt;0),Studien!A58,"")</f>
        <v/>
      </c>
      <c r="B49" s="563" t="str">
        <f>IF(AND(SUM(Studien!I58:J58)=2,Studien!K58&lt;&gt;0),Studien!B58,"")</f>
        <v/>
      </c>
      <c r="C49" s="563" t="str">
        <f>IF(AND(SUM(Studien!I58:J58)=2,Studien!K58&lt;&gt;0),Studien!C58,"")</f>
        <v/>
      </c>
      <c r="D49" s="563" t="str">
        <f>IF(AND(SUM(Studien!I58:J58)=2,Studien!K58&lt;&gt;0),Studien!D58,"")</f>
        <v/>
      </c>
      <c r="E49" s="563" t="str">
        <f>IF(AND(SUM(Studien!I58:J58)=2,Studien!K58&lt;&gt;0),Studien!E58,"")</f>
        <v/>
      </c>
      <c r="F49" s="584"/>
      <c r="G49" s="584"/>
      <c r="H49" s="584"/>
      <c r="I49" s="584"/>
      <c r="J49" s="584"/>
      <c r="K49" s="584"/>
      <c r="L49" s="584"/>
      <c r="M49" s="584"/>
    </row>
    <row r="50" spans="1:13" x14ac:dyDescent="0.25">
      <c r="A50" s="563" t="str">
        <f>IF(AND(SUM(Studien!I59:J59)=2,Studien!K59&lt;&gt;0),Studien!A59,"")</f>
        <v/>
      </c>
      <c r="B50" s="563" t="str">
        <f>IF(AND(SUM(Studien!I59:J59)=2,Studien!K59&lt;&gt;0),Studien!B59,"")</f>
        <v/>
      </c>
      <c r="C50" s="563" t="str">
        <f>IF(AND(SUM(Studien!I59:J59)=2,Studien!K59&lt;&gt;0),Studien!C59,"")</f>
        <v/>
      </c>
      <c r="D50" s="563" t="str">
        <f>IF(AND(SUM(Studien!I59:J59)=2,Studien!K59&lt;&gt;0),Studien!D59,"")</f>
        <v/>
      </c>
      <c r="E50" s="563" t="str">
        <f>IF(AND(SUM(Studien!I59:J59)=2,Studien!K59&lt;&gt;0),Studien!E59,"")</f>
        <v/>
      </c>
      <c r="F50" s="584"/>
      <c r="G50" s="584"/>
      <c r="H50" s="584"/>
      <c r="I50" s="584"/>
      <c r="J50" s="584"/>
      <c r="K50" s="584"/>
      <c r="L50" s="584"/>
      <c r="M50" s="584"/>
    </row>
    <row r="51" spans="1:13" x14ac:dyDescent="0.25">
      <c r="A51" s="563" t="str">
        <f>IF(AND(SUM(Studien!I60:J60)=2,Studien!K60&lt;&gt;0),Studien!A60,"")</f>
        <v/>
      </c>
      <c r="B51" s="563" t="str">
        <f>IF(AND(SUM(Studien!I60:J60)=2,Studien!K60&lt;&gt;0),Studien!B60,"")</f>
        <v/>
      </c>
      <c r="C51" s="563" t="str">
        <f>IF(AND(SUM(Studien!I60:J60)=2,Studien!K60&lt;&gt;0),Studien!C60,"")</f>
        <v/>
      </c>
      <c r="D51" s="563" t="str">
        <f>IF(AND(SUM(Studien!I60:J60)=2,Studien!K60&lt;&gt;0),Studien!D60,"")</f>
        <v/>
      </c>
      <c r="E51" s="563" t="str">
        <f>IF(AND(SUM(Studien!I60:J60)=2,Studien!K60&lt;&gt;0),Studien!E60,"")</f>
        <v/>
      </c>
      <c r="F51" s="584"/>
      <c r="G51" s="584"/>
      <c r="H51" s="584"/>
      <c r="I51" s="584"/>
      <c r="J51" s="584"/>
      <c r="K51" s="584"/>
      <c r="L51" s="584"/>
      <c r="M51" s="58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3"/>
  <dimension ref="A1:M19"/>
  <sheetViews>
    <sheetView topLeftCell="A10" workbookViewId="0">
      <selection activeCell="A14" sqref="A14"/>
    </sheetView>
  </sheetViews>
  <sheetFormatPr defaultColWidth="11.42578125" defaultRowHeight="12" x14ac:dyDescent="0.2"/>
  <cols>
    <col min="1" max="1" width="21.42578125" style="155" customWidth="1"/>
    <col min="2" max="13" width="17.140625" style="155" customWidth="1"/>
    <col min="14" max="14" width="15.140625" style="155" customWidth="1"/>
    <col min="15" max="17" width="9.140625" style="155" customWidth="1"/>
    <col min="18" max="18" width="1.7109375" style="155" customWidth="1"/>
    <col min="19" max="21" width="8.7109375" style="155" customWidth="1"/>
    <col min="22" max="22" width="16.28515625" style="155" customWidth="1"/>
    <col min="23" max="16384" width="11.42578125" style="155"/>
  </cols>
  <sheetData>
    <row r="1" spans="1:13" s="396" customFormat="1" ht="61.5" customHeight="1" x14ac:dyDescent="0.25">
      <c r="A1" s="397" t="str">
        <f>LEFT(Basisdaten!B28,33)</f>
        <v>Zentrumspat. 
Prostatakarzinom 1)</v>
      </c>
      <c r="B1" s="397" t="str">
        <f>CONCATENATE(LEFT(Basisdaten!D28,21)," - ",Basisdaten!D30)</f>
        <v>nicht interventionell - Active Surveillance</v>
      </c>
      <c r="C1" s="397" t="str">
        <f>CONCATENATE(LEFT(Basisdaten!D28,21)," - ",Basisdaten!E30)</f>
        <v>nicht interventionell - Watchful Waiting</v>
      </c>
      <c r="D1" s="397" t="str">
        <f>CONCATENATE(LEFT(Basisdaten!F28,15)," - ",Basisdaten!F29," - ",Basisdaten!F30)</f>
        <v>interventionell - lokale Behandlung der Prostata - RPE</v>
      </c>
      <c r="E1" s="397" t="str">
        <f>CONCATENATE(LEFT(Basisdaten!F28,15)," - ",Basisdaten!F29," - ",Basisdaten!G30)</f>
        <v>interventionell - lokale Behandlung der Prostata - RZE aufgrund von PCa</v>
      </c>
      <c r="F1" s="397" t="str">
        <f>CONCATENATE(LEFT(Basisdaten!F28,15)," - ",Basisdaten!F29," - ",LEFT(Basisdaten!H30,22))</f>
        <v>interventionell - lokale Behandlung der Prostata - Zufallsbefund nach RZE</v>
      </c>
      <c r="G1" s="397" t="str">
        <f>CONCATENATE(LEFT(Basisdaten!F28,15)," - ",Basisdaten!F29," - ",Basisdaten!I30)</f>
        <v xml:space="preserve">interventionell - lokale Behandlung der Prostata - Definitive perkutane
Strahlentherapie  </v>
      </c>
      <c r="H1" s="397" t="str">
        <f>CONCATENATE(LEFT(Basisdaten!F28,15)," - ",Basisdaten!F29," - ",Basisdaten!J30)</f>
        <v>interventionell - lokale Behandlung der Prostata - LDR-Brachytherapie</v>
      </c>
      <c r="I1" s="397" t="str">
        <f>CONCATENATE(LEFT(Basisdaten!F28,15)," - ",Basisdaten!F29," - ",Basisdaten!K30)</f>
        <v>interventionell - lokale Behandlung der Prostata - HDR-Brachytherapie</v>
      </c>
      <c r="J1" s="397" t="str">
        <f>CONCATENATE(LEFT(Basisdaten!F28,15)," - ",Basisdaten!F29," - ",LEFT(Basisdaten!L30,22))</f>
        <v>interventionell - lokale Behandlung der Prostata - andere lokale Therapie</v>
      </c>
      <c r="K1" s="397" t="str">
        <f>CONCATENATE(LEFT(Basisdaten!F28,15)," - ",LEFT(Basisdaten!M29,39))</f>
        <v>interventionell - ausschließliche systemische 
Behandlung</v>
      </c>
      <c r="L1" s="397" t="str">
        <f>CONCATENATE(LEFT(Basisdaten!F28,15)," - ",LEFT(Basisdaten!N29,17))</f>
        <v>interventionell - andere Behandlung</v>
      </c>
      <c r="M1" s="397" t="str">
        <f>Basisdaten!O28</f>
        <v>Gesamt</v>
      </c>
    </row>
    <row r="2" spans="1:13" ht="36" x14ac:dyDescent="0.2">
      <c r="A2" s="398" t="str">
        <f>CONCATENATE(LEFT(Basisdaten!B32,18)," - ",Basisdaten!B33," - ",LEFT(Basisdaten!C33,16))</f>
        <v>a) Primärfall-Pat. - lokal begrenzt (T1/2-N0-M0) - niedrigem Risiko</v>
      </c>
      <c r="B2" s="399" t="str">
        <f>IF(Basisdaten!D33="","",Basisdaten!D33)</f>
        <v/>
      </c>
      <c r="C2" s="399" t="str">
        <f>IF(Basisdaten!E33="","",Basisdaten!E33)</f>
        <v/>
      </c>
      <c r="D2" s="399" t="str">
        <f>IF(Basisdaten!F33="","",Basisdaten!F33)</f>
        <v/>
      </c>
      <c r="E2" s="399" t="str">
        <f>IF(Basisdaten!G33="","",Basisdaten!G33)</f>
        <v/>
      </c>
      <c r="F2" s="399" t="str">
        <f>IF(Basisdaten!H33="","",Basisdaten!H33)</f>
        <v/>
      </c>
      <c r="G2" s="399" t="str">
        <f>IF(Basisdaten!I33="","",Basisdaten!I33)</f>
        <v/>
      </c>
      <c r="H2" s="399" t="str">
        <f>IF(Basisdaten!J33="","",Basisdaten!J33)</f>
        <v/>
      </c>
      <c r="I2" s="399" t="str">
        <f>IF(Basisdaten!K33="","",Basisdaten!K33)</f>
        <v/>
      </c>
      <c r="J2" s="399" t="str">
        <f>IF(Basisdaten!L33="","",Basisdaten!L33)</f>
        <v/>
      </c>
      <c r="K2" s="399" t="str">
        <f>IF(Basisdaten!M33="","",Basisdaten!M33)</f>
        <v/>
      </c>
      <c r="L2" s="399" t="str">
        <f>IF(Basisdaten!N33="","",Basisdaten!N33)</f>
        <v/>
      </c>
      <c r="M2" s="399" t="str">
        <f>IF(Basisdaten!O33="","",Basisdaten!O33)</f>
        <v/>
      </c>
    </row>
    <row r="3" spans="1:13" ht="36" x14ac:dyDescent="0.2">
      <c r="A3" s="398" t="str">
        <f>CONCATENATE(LEFT(Basisdaten!B32,18)," - ",Basisdaten!B33," - ",LEFT(Basisdaten!C34,16))</f>
        <v>a) Primärfall-Pat. - lokal begrenzt (T1/2-N0-M0) - mittlerem Risiko</v>
      </c>
      <c r="B3" s="399" t="str">
        <f>IF(Basisdaten!D34="","",Basisdaten!D34)</f>
        <v/>
      </c>
      <c r="C3" s="399" t="str">
        <f>IF(Basisdaten!E34="","",Basisdaten!E34)</f>
        <v/>
      </c>
      <c r="D3" s="399" t="str">
        <f>IF(Basisdaten!F34="","",Basisdaten!F34)</f>
        <v/>
      </c>
      <c r="E3" s="399" t="str">
        <f>IF(Basisdaten!G34="","",Basisdaten!G34)</f>
        <v/>
      </c>
      <c r="F3" s="399" t="str">
        <f>IF(Basisdaten!H34="","",Basisdaten!H34)</f>
        <v/>
      </c>
      <c r="G3" s="399" t="str">
        <f>IF(Basisdaten!I34="","",Basisdaten!I34)</f>
        <v/>
      </c>
      <c r="H3" s="399" t="str">
        <f>IF(Basisdaten!J34="","",Basisdaten!J34)</f>
        <v/>
      </c>
      <c r="I3" s="399" t="str">
        <f>IF(Basisdaten!K34="","",Basisdaten!K34)</f>
        <v/>
      </c>
      <c r="J3" s="399" t="str">
        <f>IF(Basisdaten!L34="","",Basisdaten!L34)</f>
        <v/>
      </c>
      <c r="K3" s="399" t="str">
        <f>IF(Basisdaten!M34="","",Basisdaten!M34)</f>
        <v/>
      </c>
      <c r="L3" s="399" t="str">
        <f>IF(Basisdaten!N34="","",Basisdaten!N34)</f>
        <v/>
      </c>
      <c r="M3" s="399" t="str">
        <f>IF(Basisdaten!O34="","",Basisdaten!O34)</f>
        <v/>
      </c>
    </row>
    <row r="4" spans="1:13" ht="36" x14ac:dyDescent="0.2">
      <c r="A4" s="398" t="str">
        <f>CONCATENATE(LEFT(Basisdaten!B32,18)," - ",Basisdaten!B33," - ",LEFT(Basisdaten!C35,12))</f>
        <v>a) Primärfall-Pat. - lokal begrenzt (T1/2-N0-M0) - hohem Risiko</v>
      </c>
      <c r="B4" s="399" t="str">
        <f>IF(Basisdaten!D35="","",Basisdaten!D35)</f>
        <v/>
      </c>
      <c r="C4" s="399" t="str">
        <f>IF(Basisdaten!E35="","",Basisdaten!E35)</f>
        <v/>
      </c>
      <c r="D4" s="399" t="str">
        <f>IF(Basisdaten!F35="","",Basisdaten!F35)</f>
        <v/>
      </c>
      <c r="E4" s="399" t="str">
        <f>IF(Basisdaten!G35="","",Basisdaten!G35)</f>
        <v/>
      </c>
      <c r="F4" s="399" t="str">
        <f>IF(Basisdaten!H35="","",Basisdaten!H35)</f>
        <v/>
      </c>
      <c r="G4" s="399" t="str">
        <f>IF(Basisdaten!I35="","",Basisdaten!I35)</f>
        <v/>
      </c>
      <c r="H4" s="399" t="str">
        <f>IF(Basisdaten!J35="","",Basisdaten!J35)</f>
        <v/>
      </c>
      <c r="I4" s="399" t="str">
        <f>IF(Basisdaten!K35="","",Basisdaten!K35)</f>
        <v/>
      </c>
      <c r="J4" s="399" t="str">
        <f>IF(Basisdaten!L35="","",Basisdaten!L35)</f>
        <v/>
      </c>
      <c r="K4" s="399" t="str">
        <f>IF(Basisdaten!M35="","",Basisdaten!M35)</f>
        <v/>
      </c>
      <c r="L4" s="399" t="str">
        <f>IF(Basisdaten!N35="","",Basisdaten!N35)</f>
        <v/>
      </c>
      <c r="M4" s="399" t="str">
        <f>IF(Basisdaten!O35="","",Basisdaten!O35)</f>
        <v/>
      </c>
    </row>
    <row r="5" spans="1:13" ht="36" x14ac:dyDescent="0.2">
      <c r="A5" s="398" t="str">
        <f>CONCATENATE(LEFT(Basisdaten!B32,18)," - ",Basisdaten!B36)</f>
        <v>a) Primärfall-Pat. - lokal fortgeschritten (T3/4-N0-M0)</v>
      </c>
      <c r="B5" s="399" t="str">
        <f>IF(Basisdaten!D36="","",Basisdaten!D36)</f>
        <v/>
      </c>
      <c r="C5" s="399" t="str">
        <f>IF(Basisdaten!E36="","",Basisdaten!E36)</f>
        <v/>
      </c>
      <c r="D5" s="399" t="str">
        <f>IF(Basisdaten!F36="","",Basisdaten!F36)</f>
        <v/>
      </c>
      <c r="E5" s="399" t="str">
        <f>IF(Basisdaten!G36="","",Basisdaten!G36)</f>
        <v/>
      </c>
      <c r="F5" s="399" t="str">
        <f>IF(Basisdaten!H36="","",Basisdaten!H36)</f>
        <v/>
      </c>
      <c r="G5" s="399" t="str">
        <f>IF(Basisdaten!I36="","",Basisdaten!I36)</f>
        <v/>
      </c>
      <c r="H5" s="399" t="str">
        <f>IF(Basisdaten!J36="","",Basisdaten!J36)</f>
        <v/>
      </c>
      <c r="I5" s="399" t="str">
        <f>IF(Basisdaten!K36="","",Basisdaten!K36)</f>
        <v/>
      </c>
      <c r="J5" s="399" t="str">
        <f>IF(Basisdaten!L36="","",Basisdaten!L36)</f>
        <v/>
      </c>
      <c r="K5" s="399" t="str">
        <f>IF(Basisdaten!M36="","",Basisdaten!M36)</f>
        <v/>
      </c>
      <c r="L5" s="399" t="str">
        <f>IF(Basisdaten!N36="","",Basisdaten!N36)</f>
        <v/>
      </c>
      <c r="M5" s="399" t="str">
        <f>IF(Basisdaten!O36="","",Basisdaten!O36)</f>
        <v/>
      </c>
    </row>
    <row r="6" spans="1:13" ht="24" x14ac:dyDescent="0.2">
      <c r="A6" s="398" t="str">
        <f>CONCATENATE(LEFT(Basisdaten!B32,18)," - ",Basisdaten!B37)</f>
        <v>a) Primärfall-Pat. - fortgeschritten (N1, M0)</v>
      </c>
      <c r="B6" s="543"/>
      <c r="C6" s="399" t="str">
        <f>IF(Basisdaten!E37="","",Basisdaten!E37)</f>
        <v/>
      </c>
      <c r="D6" s="399" t="str">
        <f>IF(Basisdaten!F37="","",Basisdaten!F37)</f>
        <v/>
      </c>
      <c r="E6" s="399" t="str">
        <f>IF(Basisdaten!G37="","",Basisdaten!G37)</f>
        <v/>
      </c>
      <c r="F6" s="399" t="str">
        <f>IF(Basisdaten!H37="","",Basisdaten!H37)</f>
        <v/>
      </c>
      <c r="G6" s="399" t="str">
        <f>IF(Basisdaten!I37="","",Basisdaten!I37)</f>
        <v/>
      </c>
      <c r="H6" s="399" t="str">
        <f>IF(Basisdaten!J37="","",Basisdaten!J37)</f>
        <v/>
      </c>
      <c r="I6" s="399" t="str">
        <f>IF(Basisdaten!K37="","",Basisdaten!K37)</f>
        <v/>
      </c>
      <c r="J6" s="399" t="str">
        <f>IF(Basisdaten!L37="","",Basisdaten!L37)</f>
        <v/>
      </c>
      <c r="K6" s="399" t="str">
        <f>IF(Basisdaten!M37="","",Basisdaten!M37)</f>
        <v/>
      </c>
      <c r="L6" s="399" t="str">
        <f>IF(Basisdaten!N37="","",Basisdaten!N37)</f>
        <v/>
      </c>
      <c r="M6" s="399" t="str">
        <f>IF(Basisdaten!O37="","",Basisdaten!O37)</f>
        <v/>
      </c>
    </row>
    <row r="7" spans="1:13" ht="24" x14ac:dyDescent="0.2">
      <c r="A7" s="398" t="str">
        <f>CONCATENATE(LEFT(Basisdaten!B32,18)," - ",Basisdaten!B38)</f>
        <v>a) Primärfall-Pat. - fortgeschritten (N0/1, M1)</v>
      </c>
      <c r="B7" s="543"/>
      <c r="C7" s="399" t="str">
        <f>IF(Basisdaten!E38="","",Basisdaten!E38)</f>
        <v/>
      </c>
      <c r="D7" s="399" t="str">
        <f>IF(Basisdaten!F38="","",Basisdaten!F38)</f>
        <v/>
      </c>
      <c r="E7" s="399" t="str">
        <f>IF(Basisdaten!G38="","",Basisdaten!G38)</f>
        <v/>
      </c>
      <c r="F7" s="399" t="str">
        <f>IF(Basisdaten!H38="","",Basisdaten!H38)</f>
        <v/>
      </c>
      <c r="G7" s="399" t="str">
        <f>IF(Basisdaten!I38="","",Basisdaten!I38)</f>
        <v/>
      </c>
      <c r="H7" s="399" t="str">
        <f>IF(Basisdaten!J38="","",Basisdaten!J38)</f>
        <v/>
      </c>
      <c r="I7" s="399" t="str">
        <f>IF(Basisdaten!K38="","",Basisdaten!K38)</f>
        <v/>
      </c>
      <c r="J7" s="399" t="str">
        <f>IF(Basisdaten!L38="","",Basisdaten!L38)</f>
        <v/>
      </c>
      <c r="K7" s="399" t="str">
        <f>IF(Basisdaten!M38="","",Basisdaten!M38)</f>
        <v/>
      </c>
      <c r="L7" s="399" t="str">
        <f>IF(Basisdaten!N38="","",Basisdaten!N38)</f>
        <v/>
      </c>
      <c r="M7" s="399" t="str">
        <f>IF(Basisdaten!O38="","",Basisdaten!O38)</f>
        <v/>
      </c>
    </row>
    <row r="8" spans="1:13" ht="24" x14ac:dyDescent="0.2">
      <c r="A8" s="398" t="str">
        <f>CONCATENATE(LEFT(Basisdaten!B32,18)," - ",LEFT(Basisdaten!B39,16))</f>
        <v>a) Primärfall-Pat. - nicht zuzuordnen</v>
      </c>
      <c r="B8" s="399" t="str">
        <f>IF(Basisdaten!D39="","",Basisdaten!D39)</f>
        <v/>
      </c>
      <c r="C8" s="399" t="str">
        <f>IF(Basisdaten!E39="","",Basisdaten!E39)</f>
        <v/>
      </c>
      <c r="D8" s="399" t="str">
        <f>IF(Basisdaten!F39="","",Basisdaten!F39)</f>
        <v/>
      </c>
      <c r="E8" s="399" t="str">
        <f>IF(Basisdaten!G39="","",Basisdaten!G39)</f>
        <v/>
      </c>
      <c r="F8" s="399" t="str">
        <f>IF(Basisdaten!H39="","",Basisdaten!H39)</f>
        <v/>
      </c>
      <c r="G8" s="399" t="str">
        <f>IF(Basisdaten!I39="","",Basisdaten!I39)</f>
        <v/>
      </c>
      <c r="H8" s="399" t="str">
        <f>IF(Basisdaten!J39="","",Basisdaten!J39)</f>
        <v/>
      </c>
      <c r="I8" s="399" t="str">
        <f>IF(Basisdaten!K39="","",Basisdaten!K39)</f>
        <v/>
      </c>
      <c r="J8" s="399" t="str">
        <f>IF(Basisdaten!L39="","",Basisdaten!L39)</f>
        <v/>
      </c>
      <c r="K8" s="399" t="str">
        <f>IF(Basisdaten!M39="","",Basisdaten!M39)</f>
        <v/>
      </c>
      <c r="L8" s="399" t="str">
        <f>IF(Basisdaten!N39="","",Basisdaten!N39)</f>
        <v/>
      </c>
      <c r="M8" s="399" t="str">
        <f>IF(Basisdaten!O39="","",Basisdaten!O39)</f>
        <v/>
      </c>
    </row>
    <row r="9" spans="1:13" ht="24" x14ac:dyDescent="0.2">
      <c r="A9" s="398" t="str">
        <f>CONCATENATE(LEFT(Basisdaten!B32,18)," - ",Basisdaten!B40)</f>
        <v>a) Primärfall-Pat. - Primärfallpat. gesamt</v>
      </c>
      <c r="B9" s="399" t="str">
        <f>IF(Basisdaten!D40="","",Basisdaten!D40)</f>
        <v/>
      </c>
      <c r="C9" s="399" t="str">
        <f>IF(Basisdaten!E40="","",Basisdaten!E40)</f>
        <v/>
      </c>
      <c r="D9" s="399" t="str">
        <f>IF(Basisdaten!F40="","",Basisdaten!F40)</f>
        <v/>
      </c>
      <c r="E9" s="399" t="str">
        <f>IF(Basisdaten!G40="","",Basisdaten!G40)</f>
        <v/>
      </c>
      <c r="F9" s="399" t="str">
        <f>IF(Basisdaten!H40="","",Basisdaten!H40)</f>
        <v/>
      </c>
      <c r="G9" s="399" t="str">
        <f>IF(Basisdaten!I40="","",Basisdaten!I40)</f>
        <v/>
      </c>
      <c r="H9" s="399" t="str">
        <f>IF(Basisdaten!J40="","",Basisdaten!J40)</f>
        <v/>
      </c>
      <c r="I9" s="399" t="str">
        <f>IF(Basisdaten!K40="","",Basisdaten!K40)</f>
        <v/>
      </c>
      <c r="J9" s="399" t="str">
        <f>IF(Basisdaten!L40="","",Basisdaten!L40)</f>
        <v/>
      </c>
      <c r="K9" s="399" t="str">
        <f>IF(Basisdaten!M40="","",Basisdaten!M40)</f>
        <v/>
      </c>
      <c r="L9" s="399" t="str">
        <f>IF(Basisdaten!N40="","",Basisdaten!N40)</f>
        <v/>
      </c>
      <c r="M9" s="399" t="str">
        <f>IF(Basisdaten!O40="","",Basisdaten!O40)</f>
        <v/>
      </c>
    </row>
    <row r="10" spans="1:13" ht="24" x14ac:dyDescent="0.2">
      <c r="A10" s="398" t="str">
        <f>CONCATENATE(LEFT(Basisdaten!B32,18)," - ",Basisdaten!B42)</f>
        <v>a) Primärfall-Pat. - davon Pat. mit Historie "AS/WW"</v>
      </c>
      <c r="B10" s="400"/>
      <c r="C10" s="400"/>
      <c r="D10" s="399" t="str">
        <f>IF(Basisdaten!F42="","",Basisdaten!F42)</f>
        <v/>
      </c>
      <c r="E10" s="399" t="str">
        <f>IF(Basisdaten!G42="","",Basisdaten!G42)</f>
        <v/>
      </c>
      <c r="F10" s="399" t="str">
        <f>IF(Basisdaten!H42="","",Basisdaten!H42)</f>
        <v/>
      </c>
      <c r="G10" s="399" t="str">
        <f>IF(Basisdaten!I42="","",Basisdaten!I42)</f>
        <v/>
      </c>
      <c r="H10" s="399" t="str">
        <f>IF(Basisdaten!J42="","",Basisdaten!J42)</f>
        <v/>
      </c>
      <c r="I10" s="399" t="str">
        <f>IF(Basisdaten!K42="","",Basisdaten!K42)</f>
        <v/>
      </c>
      <c r="J10" s="399" t="str">
        <f>IF(Basisdaten!L42="","",Basisdaten!L42)</f>
        <v/>
      </c>
      <c r="K10" s="399" t="str">
        <f>IF(Basisdaten!M42="","",Basisdaten!M42)</f>
        <v/>
      </c>
      <c r="L10" s="399" t="str">
        <f>IF(Basisdaten!N42="","",Basisdaten!N42)</f>
        <v/>
      </c>
      <c r="M10" s="399" t="str">
        <f>IF(Basisdaten!O42="","",Basisdaten!O42)</f>
        <v/>
      </c>
    </row>
    <row r="11" spans="1:13" ht="84" x14ac:dyDescent="0.2">
      <c r="A11" s="398" t="str">
        <f>CONCATENATE(LEFT(Basisdaten!B44,77)," - ",RIGHT(Basisdaten!B45,35))</f>
        <v>b) Pat. mit neuaufgetretenem Rezidiv und/ oder Fernmetastasen im Kalenderjahr -   Pat. mit neuaufgetretenem Rezidiv</v>
      </c>
      <c r="B11" s="543"/>
      <c r="C11" s="399" t="str">
        <f>IF(Basisdaten!E45="","",Basisdaten!E45)</f>
        <v/>
      </c>
      <c r="D11" s="399" t="str">
        <f>IF(Basisdaten!F45="","",Basisdaten!F45)</f>
        <v/>
      </c>
      <c r="E11" s="399" t="str">
        <f>IF(Basisdaten!G45="","",Basisdaten!G45)</f>
        <v/>
      </c>
      <c r="F11" s="399" t="str">
        <f>IF(Basisdaten!H45="","",Basisdaten!H45)</f>
        <v/>
      </c>
      <c r="G11" s="399" t="str">
        <f>IF(Basisdaten!I45="","",Basisdaten!I45)</f>
        <v/>
      </c>
      <c r="H11" s="399" t="str">
        <f>IF(Basisdaten!J45="","",Basisdaten!J45)</f>
        <v/>
      </c>
      <c r="I11" s="399" t="str">
        <f>IF(Basisdaten!K45="","",Basisdaten!K45)</f>
        <v/>
      </c>
      <c r="J11" s="399" t="str">
        <f>IF(Basisdaten!L45="","",Basisdaten!L45)</f>
        <v/>
      </c>
      <c r="K11" s="399" t="str">
        <f>IF(Basisdaten!M45="","",Basisdaten!M45)</f>
        <v/>
      </c>
      <c r="L11" s="399" t="str">
        <f>IF(Basisdaten!N45="","",Basisdaten!N45)</f>
        <v/>
      </c>
      <c r="M11" s="399" t="str">
        <f>IF(Basisdaten!O45="","",Basisdaten!O45)</f>
        <v/>
      </c>
    </row>
    <row r="12" spans="1:13" ht="84" x14ac:dyDescent="0.2">
      <c r="A12" s="398" t="str">
        <f>CONCATENATE(LEFT(Basisdaten!B44,77)," - ",RIGHT(Basisdaten!B46,40))</f>
        <v>b) Pat. mit neuaufgetretenem Rezidiv und/ oder Fernmetastasen im Kalenderjahr -  Pat. mit neuaufgetretener Fernmetastase</v>
      </c>
      <c r="B12" s="543"/>
      <c r="C12" s="399" t="str">
        <f>IF(Basisdaten!E46="","",Basisdaten!E46)</f>
        <v/>
      </c>
      <c r="D12" s="399" t="str">
        <f>IF(Basisdaten!F46="","",Basisdaten!F46)</f>
        <v/>
      </c>
      <c r="E12" s="399" t="str">
        <f>IF(Basisdaten!G46="","",Basisdaten!G46)</f>
        <v/>
      </c>
      <c r="F12" s="399" t="str">
        <f>IF(Basisdaten!H46="","",Basisdaten!H46)</f>
        <v/>
      </c>
      <c r="G12" s="399" t="str">
        <f>IF(Basisdaten!I46="","",Basisdaten!I46)</f>
        <v/>
      </c>
      <c r="H12" s="399" t="str">
        <f>IF(Basisdaten!J46="","",Basisdaten!J46)</f>
        <v/>
      </c>
      <c r="I12" s="399" t="str">
        <f>IF(Basisdaten!K46="","",Basisdaten!K46)</f>
        <v/>
      </c>
      <c r="J12" s="399" t="str">
        <f>IF(Basisdaten!L46="","",Basisdaten!L46)</f>
        <v/>
      </c>
      <c r="K12" s="399" t="str">
        <f>IF(Basisdaten!M46="","",Basisdaten!M46)</f>
        <v/>
      </c>
      <c r="L12" s="399" t="str">
        <f>IF(Basisdaten!N46="","",Basisdaten!N46)</f>
        <v/>
      </c>
      <c r="M12" s="399" t="str">
        <f>IF(Basisdaten!O46="","",Basisdaten!O46)</f>
        <v/>
      </c>
    </row>
    <row r="13" spans="1:13" ht="84" x14ac:dyDescent="0.2">
      <c r="A13" s="398" t="str">
        <f>CONCATENATE(LEFT(Basisdaten!B44,77)," - ",Basisdaten!B47)</f>
        <v>b) Pat. mit neuaufgetretenem Rezidiv und/ oder Fernmetastasen im Kalenderjahr - Pat. gesamt (ohne Mehrfachnennung)</v>
      </c>
      <c r="B13" s="543"/>
      <c r="C13" s="399" t="str">
        <f>IF(Basisdaten!E47="","",Basisdaten!E47)</f>
        <v/>
      </c>
      <c r="D13" s="399" t="str">
        <f>IF(Basisdaten!F47="","",Basisdaten!F47)</f>
        <v/>
      </c>
      <c r="E13" s="399" t="str">
        <f>IF(Basisdaten!G47="","",Basisdaten!G47)</f>
        <v/>
      </c>
      <c r="F13" s="399" t="str">
        <f>IF(Basisdaten!H47="","",Basisdaten!H47)</f>
        <v/>
      </c>
      <c r="G13" s="399" t="str">
        <f>IF(Basisdaten!I47="","",Basisdaten!I47)</f>
        <v/>
      </c>
      <c r="H13" s="399" t="str">
        <f>IF(Basisdaten!J47="","",Basisdaten!J47)</f>
        <v/>
      </c>
      <c r="I13" s="399" t="str">
        <f>IF(Basisdaten!K47="","",Basisdaten!K47)</f>
        <v/>
      </c>
      <c r="J13" s="399" t="str">
        <f>IF(Basisdaten!L47="","",Basisdaten!L47)</f>
        <v/>
      </c>
      <c r="K13" s="399" t="str">
        <f>IF(Basisdaten!M47="","",Basisdaten!M47)</f>
        <v/>
      </c>
      <c r="L13" s="399" t="str">
        <f>IF(Basisdaten!N47="","",Basisdaten!N47)</f>
        <v/>
      </c>
      <c r="M13" s="399" t="str">
        <f>IF(Basisdaten!O47="","",Basisdaten!O47)</f>
        <v/>
      </c>
    </row>
    <row r="14" spans="1:13" ht="84" x14ac:dyDescent="0.2">
      <c r="A14" s="398" t="str">
        <f>CONCATENATE(LEFT(Basisdaten!B44,77)," - ",Basisdaten!B49)</f>
        <v>b) Pat. mit neuaufgetretenem Rezidiv und/ oder Fernmetastasen im Kalenderjahr - davon Pat. parallel Status Primärfall-Pat.</v>
      </c>
      <c r="B14" s="543"/>
      <c r="C14" s="399" t="str">
        <f>IF(Basisdaten!E49="","",Basisdaten!E49)</f>
        <v/>
      </c>
      <c r="D14" s="399" t="str">
        <f>IF(Basisdaten!F49="","",Basisdaten!F49)</f>
        <v/>
      </c>
      <c r="E14" s="399" t="str">
        <f>IF(Basisdaten!G49="","",Basisdaten!G49)</f>
        <v/>
      </c>
      <c r="F14" s="399" t="str">
        <f>IF(Basisdaten!H49="","",Basisdaten!H49)</f>
        <v/>
      </c>
      <c r="G14" s="399" t="str">
        <f>IF(Basisdaten!I49="","",Basisdaten!I49)</f>
        <v/>
      </c>
      <c r="H14" s="399" t="str">
        <f>IF(Basisdaten!J49="","",Basisdaten!J49)</f>
        <v/>
      </c>
      <c r="I14" s="399" t="str">
        <f>IF(Basisdaten!K49="","",Basisdaten!K49)</f>
        <v/>
      </c>
      <c r="J14" s="399" t="str">
        <f>IF(Basisdaten!L49="","",Basisdaten!L49)</f>
        <v/>
      </c>
      <c r="K14" s="399" t="str">
        <f>IF(Basisdaten!M49="","",Basisdaten!M49)</f>
        <v/>
      </c>
      <c r="L14" s="399" t="str">
        <f>IF(Basisdaten!N49="","",Basisdaten!N49)</f>
        <v/>
      </c>
      <c r="M14" s="399" t="str">
        <f>IF(Basisdaten!O49="","",Basisdaten!O49)</f>
        <v/>
      </c>
    </row>
    <row r="15" spans="1:13" x14ac:dyDescent="0.2">
      <c r="A15" s="398" t="str">
        <f>LEFT(Basisdaten!B51,20)</f>
        <v xml:space="preserve">Zentrumspat. GESAMT </v>
      </c>
      <c r="B15" s="399" t="str">
        <f>IF(Basisdaten!D51="","",Basisdaten!D51)</f>
        <v/>
      </c>
      <c r="C15" s="399" t="str">
        <f>IF(Basisdaten!E51="","",Basisdaten!E51)</f>
        <v/>
      </c>
      <c r="D15" s="399" t="str">
        <f>IF(Basisdaten!F51="","",Basisdaten!F51)</f>
        <v/>
      </c>
      <c r="E15" s="399" t="str">
        <f>IF(Basisdaten!G51="","",Basisdaten!G51)</f>
        <v/>
      </c>
      <c r="F15" s="399" t="str">
        <f>IF(Basisdaten!H51="","",Basisdaten!H51)</f>
        <v/>
      </c>
      <c r="G15" s="399" t="str">
        <f>IF(Basisdaten!I51="","",Basisdaten!I51)</f>
        <v/>
      </c>
      <c r="H15" s="399" t="str">
        <f>IF(Basisdaten!J51="","",Basisdaten!J51)</f>
        <v/>
      </c>
      <c r="I15" s="399" t="str">
        <f>IF(Basisdaten!K51="","",Basisdaten!K51)</f>
        <v/>
      </c>
      <c r="J15" s="399" t="str">
        <f>IF(Basisdaten!L51="","",Basisdaten!L51)</f>
        <v/>
      </c>
      <c r="K15" s="399" t="str">
        <f>IF(Basisdaten!M51="","",Basisdaten!M51)</f>
        <v/>
      </c>
      <c r="L15" s="399" t="str">
        <f>IF(Basisdaten!N51="","",Basisdaten!N51)</f>
        <v/>
      </c>
      <c r="M15" s="399" t="str">
        <f>IF(Basisdaten!O51="","",Basisdaten!O51)</f>
        <v/>
      </c>
    </row>
    <row r="16" spans="1:13" ht="24" x14ac:dyDescent="0.2">
      <c r="A16" s="398" t="str">
        <f>CONCATENATE(LEFT(Basisdaten!B53,19)," - ",LEFT(Basisdaten!D53,3))</f>
        <v>Operative Expertise - RPE</v>
      </c>
      <c r="B16" s="400"/>
      <c r="C16" s="400"/>
      <c r="D16" s="400"/>
      <c r="E16" s="400"/>
      <c r="F16" s="400"/>
      <c r="G16" s="400"/>
      <c r="H16" s="400"/>
      <c r="I16" s="400"/>
      <c r="J16" s="400"/>
      <c r="K16" s="400"/>
      <c r="L16" s="399" t="str">
        <f>IF(Basisdaten!N53="","",Basisdaten!N53)</f>
        <v/>
      </c>
      <c r="M16" s="400"/>
    </row>
    <row r="17" spans="1:13" s="395" customFormat="1" ht="24" x14ac:dyDescent="0.2">
      <c r="A17" s="398" t="str">
        <f>CONCATENATE(LEFT(Basisdaten!B53,19)," - ",LEFT(Basisdaten!D54,20))</f>
        <v>Operative Expertise - RZE aufgrund von PCa</v>
      </c>
      <c r="B17" s="401"/>
      <c r="C17" s="401"/>
      <c r="D17" s="401"/>
      <c r="E17" s="401"/>
      <c r="F17" s="401"/>
      <c r="G17" s="401"/>
      <c r="H17" s="401"/>
      <c r="I17" s="401"/>
      <c r="J17" s="401"/>
      <c r="K17" s="401"/>
      <c r="L17" s="399" t="str">
        <f>IF(Basisdaten!N54="","",Basisdaten!N54)</f>
        <v/>
      </c>
      <c r="M17" s="401"/>
    </row>
    <row r="18" spans="1:13" s="395" customFormat="1" ht="24" x14ac:dyDescent="0.2">
      <c r="A18" s="398" t="str">
        <f>CONCATENATE(LEFT(Basisdaten!B53,19)," - ",LEFT(Basisdaten!D55,22))</f>
        <v>Operative Expertise - Zufallsbefund nach RZE</v>
      </c>
      <c r="B18" s="401"/>
      <c r="C18" s="401"/>
      <c r="D18" s="401"/>
      <c r="E18" s="401"/>
      <c r="F18" s="401"/>
      <c r="G18" s="401"/>
      <c r="H18" s="401"/>
      <c r="I18" s="401"/>
      <c r="J18" s="401"/>
      <c r="K18" s="401"/>
      <c r="L18" s="399" t="str">
        <f>IF(Basisdaten!N55="","",Basisdaten!N55)</f>
        <v/>
      </c>
      <c r="M18" s="401"/>
    </row>
    <row r="19" spans="1:13" x14ac:dyDescent="0.2">
      <c r="A19" s="398" t="str">
        <f>LEFT(Basisdaten!B53,19)</f>
        <v>Operative Expertise</v>
      </c>
      <c r="B19" s="400"/>
      <c r="C19" s="400"/>
      <c r="D19" s="400"/>
      <c r="E19" s="400"/>
      <c r="F19" s="400"/>
      <c r="G19" s="400"/>
      <c r="H19" s="400"/>
      <c r="I19" s="400"/>
      <c r="J19" s="400"/>
      <c r="K19" s="400"/>
      <c r="L19" s="400"/>
      <c r="M19" s="399" t="str">
        <f>IF(Basisdaten!O53="","",Basisdaten!O53)</f>
        <v/>
      </c>
    </row>
  </sheetData>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F6"/>
  <sheetViews>
    <sheetView workbookViewId="0">
      <selection activeCell="A59" sqref="A59"/>
    </sheetView>
  </sheetViews>
  <sheetFormatPr defaultColWidth="11.42578125" defaultRowHeight="15" x14ac:dyDescent="0.25"/>
  <cols>
    <col min="1" max="1" width="32.28515625" customWidth="1"/>
    <col min="2" max="2" width="38.42578125" customWidth="1"/>
    <col min="3" max="3" width="39.140625" customWidth="1"/>
    <col min="4" max="6" width="20.7109375" customWidth="1"/>
    <col min="7" max="7" width="42.85546875" customWidth="1"/>
    <col min="8" max="8" width="43.7109375" customWidth="1"/>
    <col min="9" max="9" width="36" customWidth="1"/>
    <col min="10" max="10" width="16.5703125" customWidth="1"/>
    <col min="11" max="11" width="24.140625" customWidth="1"/>
    <col min="12" max="12" width="35" customWidth="1"/>
    <col min="13" max="13" width="28.140625" customWidth="1"/>
    <col min="14" max="14" width="27.7109375" customWidth="1"/>
    <col min="15" max="15" width="30.140625" customWidth="1"/>
    <col min="16" max="16" width="28.140625" customWidth="1"/>
    <col min="17" max="17" width="29.7109375" customWidth="1"/>
    <col min="18" max="18" width="15.28515625" customWidth="1"/>
    <col min="19" max="19" width="17.28515625" customWidth="1"/>
  </cols>
  <sheetData>
    <row r="1" spans="1:6" x14ac:dyDescent="0.25">
      <c r="A1" s="158" t="s">
        <v>396</v>
      </c>
      <c r="B1" s="156" t="str">
        <f>IF(Basisdaten!C16=0,"",Basisdaten!C16)</f>
        <v/>
      </c>
    </row>
    <row r="2" spans="1:6" x14ac:dyDescent="0.25">
      <c r="A2" s="158" t="s">
        <v>80</v>
      </c>
      <c r="B2" s="157" t="str">
        <f>IF(Basisdaten!M12=0,"",Basisdaten!M12)</f>
        <v/>
      </c>
    </row>
    <row r="3" spans="1:6" x14ac:dyDescent="0.25">
      <c r="A3" s="158" t="s">
        <v>475</v>
      </c>
      <c r="B3" s="157" t="str">
        <f>IF(Basisdaten!M14=0,"",Basisdaten!M14)</f>
        <v/>
      </c>
    </row>
    <row r="5" spans="1:6" x14ac:dyDescent="0.25">
      <c r="A5" s="167" t="s">
        <v>17</v>
      </c>
      <c r="B5" s="547" t="s">
        <v>880</v>
      </c>
      <c r="C5" s="167" t="s">
        <v>22</v>
      </c>
      <c r="D5" s="167" t="s">
        <v>566</v>
      </c>
      <c r="E5" s="167" t="s">
        <v>888</v>
      </c>
      <c r="F5" s="167" t="s">
        <v>889</v>
      </c>
    </row>
    <row r="6" spans="1:6" ht="36" customHeight="1" x14ac:dyDescent="0.25">
      <c r="A6" s="168" t="str">
        <f>IF(Basisdaten!B22=0,"",Basisdaten!B22)</f>
        <v/>
      </c>
      <c r="B6" s="168" t="str">
        <f>IF(Basisdaten!E22=0,"",Basisdaten!E22)</f>
        <v/>
      </c>
      <c r="C6" s="168" t="str">
        <f>IF(Basisdaten!E25=0,"",Basisdaten!E25)</f>
        <v/>
      </c>
      <c r="D6" s="168" t="str">
        <f>IF(Basisdaten!B25=0,"",Basisdaten!B25)</f>
        <v>Nein</v>
      </c>
      <c r="E6" s="168" t="str">
        <f>IF(Basisdaten!C12=0,"",Basisdaten!C12)</f>
        <v/>
      </c>
      <c r="F6" s="168" t="str">
        <f>IF(Basisdaten!C14=0,"",Basisdaten!C14)</f>
        <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1"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A434"/>
  <sheetViews>
    <sheetView topLeftCell="A56" zoomScale="90" zoomScaleNormal="90" workbookViewId="0">
      <selection activeCell="F102" sqref="F102"/>
    </sheetView>
  </sheetViews>
  <sheetFormatPr defaultColWidth="11.42578125" defaultRowHeight="15" x14ac:dyDescent="0.25"/>
  <cols>
    <col min="1" max="1" width="32" customWidth="1"/>
    <col min="2" max="2" width="70.85546875" customWidth="1"/>
    <col min="3" max="3" width="71.85546875" bestFit="1" customWidth="1"/>
    <col min="4" max="4" width="15.85546875" style="97" customWidth="1"/>
    <col min="5" max="5" width="37.42578125" style="97" customWidth="1"/>
    <col min="6" max="6" width="37" customWidth="1"/>
    <col min="7" max="7" width="36.28515625" customWidth="1"/>
    <col min="8" max="8" width="36.7109375" customWidth="1"/>
    <col min="9" max="9" width="37.85546875" customWidth="1"/>
    <col min="10" max="10" width="36.85546875" customWidth="1"/>
    <col min="11" max="11" width="36.7109375" customWidth="1"/>
    <col min="12" max="12" width="32.140625" customWidth="1"/>
    <col min="13" max="13" width="37.5703125" customWidth="1"/>
    <col min="14" max="15" width="36.85546875" customWidth="1"/>
    <col min="16" max="16" width="11.28515625" customWidth="1"/>
    <col min="17" max="17" width="37.28515625" customWidth="1"/>
    <col min="18" max="18" width="36.5703125" customWidth="1"/>
    <col min="19" max="19" width="18.7109375" customWidth="1"/>
    <col min="20" max="20" width="38.140625" customWidth="1"/>
    <col min="21" max="21" width="36" customWidth="1"/>
    <col min="22" max="22" width="17.85546875" customWidth="1"/>
    <col min="23" max="23" width="18.5703125" customWidth="1"/>
    <col min="24" max="24" width="17.28515625" customWidth="1"/>
    <col min="25" max="26" width="9.140625" customWidth="1"/>
    <col min="27" max="27" width="11.42578125" customWidth="1"/>
    <col min="28" max="31" width="9.140625" customWidth="1"/>
    <col min="32" max="32" width="13.5703125" customWidth="1"/>
    <col min="33" max="44" width="9.140625" customWidth="1"/>
    <col min="45" max="45" width="16.140625" customWidth="1"/>
    <col min="46" max="46" width="13.85546875" customWidth="1"/>
    <col min="47" max="47" width="9.140625" customWidth="1"/>
    <col min="48" max="48" width="15" customWidth="1"/>
    <col min="49" max="49" width="19.7109375" customWidth="1"/>
    <col min="50" max="50" width="15.7109375" customWidth="1"/>
    <col min="51" max="104" width="9.140625" customWidth="1"/>
    <col min="105" max="106" width="16.5703125" customWidth="1"/>
    <col min="107" max="107" width="15.5703125" customWidth="1"/>
    <col min="108" max="108" width="19" customWidth="1"/>
  </cols>
  <sheetData>
    <row r="1" spans="1:7" x14ac:dyDescent="0.25">
      <c r="B1" s="1"/>
      <c r="G1" s="2"/>
    </row>
    <row r="2" spans="1:7" x14ac:dyDescent="0.25">
      <c r="A2" s="85" t="s">
        <v>22</v>
      </c>
      <c r="B2" s="114" t="s">
        <v>77</v>
      </c>
      <c r="C2" s="505"/>
      <c r="D2" s="511"/>
      <c r="E2" s="98"/>
    </row>
    <row r="3" spans="1:7" x14ac:dyDescent="0.25">
      <c r="A3" s="362" t="s">
        <v>992</v>
      </c>
      <c r="B3" s="114" t="s">
        <v>398</v>
      </c>
      <c r="C3" s="505"/>
      <c r="D3" s="512"/>
      <c r="E3" s="98"/>
    </row>
    <row r="4" spans="1:7" x14ac:dyDescent="0.25">
      <c r="A4" s="66"/>
      <c r="B4" s="114" t="s">
        <v>683</v>
      </c>
      <c r="C4" s="505"/>
      <c r="D4" s="512"/>
      <c r="E4" s="98"/>
    </row>
    <row r="5" spans="1:7" x14ac:dyDescent="0.25">
      <c r="A5" s="66"/>
      <c r="B5" s="114" t="s">
        <v>399</v>
      </c>
      <c r="C5" s="505"/>
      <c r="D5" s="512"/>
      <c r="E5" s="98"/>
    </row>
    <row r="6" spans="1:7" x14ac:dyDescent="0.25">
      <c r="A6" s="66"/>
      <c r="B6" s="114" t="s">
        <v>20</v>
      </c>
      <c r="C6" s="505"/>
      <c r="D6" s="512"/>
      <c r="E6" s="98"/>
    </row>
    <row r="7" spans="1:7" x14ac:dyDescent="0.25">
      <c r="A7" s="66"/>
      <c r="B7" s="114" t="s">
        <v>23</v>
      </c>
      <c r="C7" s="505"/>
      <c r="D7" s="512"/>
      <c r="E7" s="98"/>
    </row>
    <row r="8" spans="1:7" x14ac:dyDescent="0.25">
      <c r="A8" s="66"/>
      <c r="B8" s="114" t="s">
        <v>78</v>
      </c>
      <c r="C8" s="505"/>
      <c r="D8" s="512"/>
      <c r="E8" s="98"/>
    </row>
    <row r="9" spans="1:7" x14ac:dyDescent="0.25">
      <c r="A9" s="66"/>
      <c r="B9" s="114" t="s">
        <v>665</v>
      </c>
      <c r="C9" s="505"/>
      <c r="D9" s="512"/>
      <c r="E9" s="98"/>
    </row>
    <row r="10" spans="1:7" x14ac:dyDescent="0.25">
      <c r="A10" s="66"/>
      <c r="B10" s="114" t="s">
        <v>666</v>
      </c>
      <c r="C10" s="505"/>
      <c r="D10" s="512"/>
      <c r="E10" s="98"/>
    </row>
    <row r="11" spans="1:7" x14ac:dyDescent="0.25">
      <c r="A11" s="66"/>
      <c r="B11" s="114" t="s">
        <v>991</v>
      </c>
      <c r="C11" s="505"/>
      <c r="D11" s="512"/>
      <c r="E11" s="98"/>
    </row>
    <row r="12" spans="1:7" x14ac:dyDescent="0.25">
      <c r="A12" s="66"/>
      <c r="B12" s="114" t="s">
        <v>667</v>
      </c>
      <c r="C12" s="505"/>
      <c r="D12" s="512"/>
      <c r="E12" s="98"/>
    </row>
    <row r="13" spans="1:7" x14ac:dyDescent="0.25">
      <c r="A13" s="66"/>
      <c r="B13" s="114" t="s">
        <v>460</v>
      </c>
      <c r="C13" s="505"/>
      <c r="D13" s="512"/>
      <c r="E13" s="98"/>
    </row>
    <row r="14" spans="1:7" x14ac:dyDescent="0.25">
      <c r="A14" s="66"/>
      <c r="B14" s="114" t="s">
        <v>459</v>
      </c>
      <c r="C14" s="505"/>
      <c r="D14" s="512"/>
      <c r="E14" s="98"/>
    </row>
    <row r="15" spans="1:7" x14ac:dyDescent="0.25">
      <c r="A15" s="66"/>
      <c r="B15" s="114" t="s">
        <v>458</v>
      </c>
      <c r="C15" s="505"/>
      <c r="D15" s="512"/>
      <c r="E15" s="98"/>
    </row>
    <row r="16" spans="1:7" x14ac:dyDescent="0.25">
      <c r="A16" s="66"/>
      <c r="B16" s="114" t="s">
        <v>506</v>
      </c>
      <c r="C16" s="505"/>
      <c r="D16" s="512"/>
      <c r="E16" s="98"/>
    </row>
    <row r="17" spans="1:23" x14ac:dyDescent="0.25">
      <c r="A17" s="66"/>
      <c r="B17" s="114" t="s">
        <v>684</v>
      </c>
      <c r="C17" s="505"/>
      <c r="D17" s="512"/>
      <c r="E17" s="98"/>
    </row>
    <row r="18" spans="1:23" x14ac:dyDescent="0.25">
      <c r="A18" s="66"/>
      <c r="B18" s="114" t="s">
        <v>400</v>
      </c>
      <c r="C18" s="505"/>
      <c r="D18" s="512"/>
      <c r="E18" s="98"/>
    </row>
    <row r="19" spans="1:23" x14ac:dyDescent="0.25">
      <c r="A19" s="66"/>
      <c r="B19" s="114" t="s">
        <v>461</v>
      </c>
      <c r="C19" s="505"/>
      <c r="D19" s="512"/>
      <c r="E19" s="98"/>
    </row>
    <row r="20" spans="1:23" x14ac:dyDescent="0.25">
      <c r="A20" s="66"/>
      <c r="B20" s="114" t="s">
        <v>512</v>
      </c>
      <c r="C20" s="505"/>
      <c r="D20" s="512"/>
      <c r="E20" s="98"/>
    </row>
    <row r="21" spans="1:23" x14ac:dyDescent="0.25">
      <c r="A21" s="66"/>
      <c r="B21" s="114" t="s">
        <v>444</v>
      </c>
      <c r="C21" s="505"/>
      <c r="D21" s="513"/>
      <c r="E21" s="98"/>
    </row>
    <row r="22" spans="1:23" x14ac:dyDescent="0.25">
      <c r="A22" s="66"/>
      <c r="B22" s="114" t="s">
        <v>291</v>
      </c>
      <c r="C22" s="505"/>
      <c r="D22" s="512"/>
      <c r="E22" s="98"/>
    </row>
    <row r="23" spans="1:23" x14ac:dyDescent="0.25">
      <c r="A23" s="66"/>
      <c r="B23" s="114" t="s">
        <v>292</v>
      </c>
      <c r="D23"/>
      <c r="E23" s="99"/>
    </row>
    <row r="24" spans="1:23" x14ac:dyDescent="0.25">
      <c r="A24" s="66"/>
      <c r="B24" s="505"/>
      <c r="D24"/>
      <c r="E24" s="99"/>
    </row>
    <row r="25" spans="1:23" x14ac:dyDescent="0.25">
      <c r="A25" s="66"/>
      <c r="B25" s="505"/>
      <c r="C25" s="505"/>
      <c r="D25"/>
      <c r="E25" s="99"/>
    </row>
    <row r="26" spans="1:23" x14ac:dyDescent="0.25">
      <c r="A26" s="66"/>
      <c r="B26" s="66"/>
      <c r="E26" s="99"/>
    </row>
    <row r="27" spans="1:23" x14ac:dyDescent="0.25">
      <c r="A27" s="271" t="s">
        <v>43</v>
      </c>
      <c r="B27" s="52" t="s">
        <v>44</v>
      </c>
      <c r="C27" s="52" t="s">
        <v>45</v>
      </c>
      <c r="D27" s="272" t="s">
        <v>46</v>
      </c>
      <c r="E27" s="19" t="s">
        <v>47</v>
      </c>
      <c r="F27" s="7" t="s">
        <v>48</v>
      </c>
      <c r="G27" s="7" t="s">
        <v>49</v>
      </c>
      <c r="H27" s="19" t="s">
        <v>50</v>
      </c>
      <c r="I27" s="19" t="s">
        <v>51</v>
      </c>
      <c r="J27" s="19" t="s">
        <v>52</v>
      </c>
      <c r="K27" s="19" t="s">
        <v>53</v>
      </c>
      <c r="L27" s="19" t="s">
        <v>54</v>
      </c>
      <c r="M27" s="19" t="s">
        <v>55</v>
      </c>
      <c r="N27" s="19" t="s">
        <v>56</v>
      </c>
      <c r="O27" s="19" t="s">
        <v>57</v>
      </c>
      <c r="P27" s="19" t="s">
        <v>19</v>
      </c>
      <c r="Q27" s="19" t="s">
        <v>58</v>
      </c>
      <c r="R27" s="19" t="s">
        <v>435</v>
      </c>
      <c r="S27" s="19" t="s">
        <v>75</v>
      </c>
      <c r="T27" s="19"/>
      <c r="U27" s="19"/>
      <c r="V27" s="7"/>
      <c r="W27" s="19"/>
    </row>
    <row r="28" spans="1:23" x14ac:dyDescent="0.25">
      <c r="A28" s="273" t="s">
        <v>293</v>
      </c>
      <c r="B28" s="274" t="s">
        <v>294</v>
      </c>
      <c r="C28" s="274" t="s">
        <v>295</v>
      </c>
      <c r="D28" s="275" t="s">
        <v>296</v>
      </c>
      <c r="E28" s="274" t="s">
        <v>297</v>
      </c>
      <c r="F28" s="276" t="s">
        <v>298</v>
      </c>
      <c r="G28" s="276" t="s">
        <v>299</v>
      </c>
      <c r="H28" s="274" t="s">
        <v>300</v>
      </c>
      <c r="I28" s="274" t="s">
        <v>301</v>
      </c>
      <c r="J28" s="274" t="s">
        <v>302</v>
      </c>
      <c r="K28" s="274" t="s">
        <v>303</v>
      </c>
      <c r="L28" s="274" t="s">
        <v>304</v>
      </c>
      <c r="M28" s="274" t="s">
        <v>305</v>
      </c>
      <c r="N28" s="274" t="s">
        <v>306</v>
      </c>
      <c r="O28" s="274" t="s">
        <v>307</v>
      </c>
      <c r="P28" s="274" t="s">
        <v>308</v>
      </c>
      <c r="Q28" s="278" t="s">
        <v>486</v>
      </c>
      <c r="R28" s="274" t="s">
        <v>487</v>
      </c>
      <c r="S28" s="278" t="s">
        <v>505</v>
      </c>
      <c r="T28" s="19"/>
      <c r="U28" s="7"/>
      <c r="V28" s="19"/>
      <c r="W28" s="7"/>
    </row>
    <row r="29" spans="1:23" x14ac:dyDescent="0.25">
      <c r="A29" s="273" t="s">
        <v>24</v>
      </c>
      <c r="B29" s="274" t="s">
        <v>31</v>
      </c>
      <c r="C29" s="274" t="s">
        <v>296</v>
      </c>
      <c r="D29" s="275" t="s">
        <v>309</v>
      </c>
      <c r="E29" s="274" t="s">
        <v>310</v>
      </c>
      <c r="F29" s="276" t="s">
        <v>310</v>
      </c>
      <c r="G29" s="276" t="s">
        <v>311</v>
      </c>
      <c r="H29" s="274" t="s">
        <v>312</v>
      </c>
      <c r="I29" s="274" t="s">
        <v>26</v>
      </c>
      <c r="J29" s="274" t="s">
        <v>313</v>
      </c>
      <c r="K29" s="274" t="s">
        <v>314</v>
      </c>
      <c r="L29" s="274" t="s">
        <v>315</v>
      </c>
      <c r="M29" s="274" t="s">
        <v>316</v>
      </c>
      <c r="N29" s="274" t="s">
        <v>34</v>
      </c>
      <c r="O29" s="274" t="s">
        <v>317</v>
      </c>
      <c r="P29" s="274" t="s">
        <v>21</v>
      </c>
      <c r="Q29" s="274" t="s">
        <v>291</v>
      </c>
      <c r="R29" s="274" t="s">
        <v>291</v>
      </c>
      <c r="S29" s="274" t="s">
        <v>291</v>
      </c>
      <c r="T29" s="19"/>
      <c r="U29" s="95"/>
      <c r="V29" s="19"/>
      <c r="W29" s="95"/>
    </row>
    <row r="30" spans="1:23" x14ac:dyDescent="0.25">
      <c r="A30" s="273" t="s">
        <v>25</v>
      </c>
      <c r="B30" s="274" t="s">
        <v>32</v>
      </c>
      <c r="C30" s="274" t="s">
        <v>318</v>
      </c>
      <c r="D30" s="277" t="s">
        <v>319</v>
      </c>
      <c r="E30" s="274" t="s">
        <v>291</v>
      </c>
      <c r="F30" s="276" t="s">
        <v>291</v>
      </c>
      <c r="G30" s="276" t="s">
        <v>320</v>
      </c>
      <c r="H30" s="274" t="s">
        <v>321</v>
      </c>
      <c r="I30" s="274" t="s">
        <v>322</v>
      </c>
      <c r="J30" s="274" t="s">
        <v>323</v>
      </c>
      <c r="K30" s="274" t="s">
        <v>41</v>
      </c>
      <c r="L30" s="274" t="s">
        <v>310</v>
      </c>
      <c r="M30" s="274" t="s">
        <v>36</v>
      </c>
      <c r="N30" s="274" t="s">
        <v>37</v>
      </c>
      <c r="O30" s="274" t="s">
        <v>324</v>
      </c>
      <c r="P30" s="274" t="s">
        <v>33</v>
      </c>
      <c r="Q30" s="274"/>
      <c r="R30" s="274"/>
      <c r="S30" s="274"/>
      <c r="T30" s="19"/>
      <c r="U30" s="95"/>
      <c r="V30" s="95"/>
      <c r="W30" s="95"/>
    </row>
    <row r="31" spans="1:23" x14ac:dyDescent="0.25">
      <c r="A31" s="273" t="s">
        <v>325</v>
      </c>
      <c r="B31" s="274" t="s">
        <v>39</v>
      </c>
      <c r="C31" s="274" t="s">
        <v>326</v>
      </c>
      <c r="D31" s="277" t="s">
        <v>310</v>
      </c>
      <c r="E31" s="274" t="s">
        <v>292</v>
      </c>
      <c r="F31" s="276" t="s">
        <v>292</v>
      </c>
      <c r="G31" s="276" t="s">
        <v>327</v>
      </c>
      <c r="H31" s="274" t="s">
        <v>328</v>
      </c>
      <c r="I31" s="276" t="s">
        <v>329</v>
      </c>
      <c r="J31" s="276" t="s">
        <v>330</v>
      </c>
      <c r="K31" s="274" t="s">
        <v>310</v>
      </c>
      <c r="L31" s="274" t="s">
        <v>291</v>
      </c>
      <c r="M31" s="274" t="s">
        <v>403</v>
      </c>
      <c r="N31" s="274" t="s">
        <v>319</v>
      </c>
      <c r="O31" s="274" t="s">
        <v>310</v>
      </c>
      <c r="P31" s="274" t="s">
        <v>35</v>
      </c>
      <c r="Q31" s="274"/>
      <c r="R31" s="274"/>
      <c r="S31" s="274"/>
      <c r="T31" s="19"/>
      <c r="U31" s="95"/>
      <c r="V31" s="95"/>
      <c r="W31" s="95"/>
    </row>
    <row r="32" spans="1:23" x14ac:dyDescent="0.25">
      <c r="A32" s="273" t="s">
        <v>332</v>
      </c>
      <c r="B32" s="274" t="s">
        <v>333</v>
      </c>
      <c r="C32" s="274" t="s">
        <v>334</v>
      </c>
      <c r="D32" s="277" t="s">
        <v>291</v>
      </c>
      <c r="E32" s="274"/>
      <c r="F32" s="276"/>
      <c r="G32" s="276" t="s">
        <v>38</v>
      </c>
      <c r="H32" s="274" t="s">
        <v>319</v>
      </c>
      <c r="I32" s="276" t="s">
        <v>335</v>
      </c>
      <c r="J32" s="276" t="s">
        <v>336</v>
      </c>
      <c r="K32" s="274" t="s">
        <v>291</v>
      </c>
      <c r="L32" s="274" t="s">
        <v>292</v>
      </c>
      <c r="M32" s="274" t="s">
        <v>74</v>
      </c>
      <c r="N32" s="274" t="s">
        <v>310</v>
      </c>
      <c r="O32" s="274" t="s">
        <v>291</v>
      </c>
      <c r="P32" s="276" t="s">
        <v>337</v>
      </c>
      <c r="Q32" s="274"/>
      <c r="R32" s="274"/>
      <c r="S32" s="274"/>
      <c r="T32" s="19"/>
      <c r="U32" s="95"/>
      <c r="V32" s="95"/>
      <c r="W32" s="95"/>
    </row>
    <row r="33" spans="1:27" x14ac:dyDescent="0.25">
      <c r="A33" s="273" t="s">
        <v>338</v>
      </c>
      <c r="B33" s="274" t="s">
        <v>40</v>
      </c>
      <c r="C33" s="274" t="s">
        <v>339</v>
      </c>
      <c r="D33" s="277" t="s">
        <v>292</v>
      </c>
      <c r="E33" s="274"/>
      <c r="F33" s="276"/>
      <c r="G33" s="274" t="s">
        <v>310</v>
      </c>
      <c r="H33" s="276" t="s">
        <v>310</v>
      </c>
      <c r="I33" s="276" t="s">
        <v>404</v>
      </c>
      <c r="J33" s="276" t="s">
        <v>340</v>
      </c>
      <c r="K33" s="274" t="s">
        <v>292</v>
      </c>
      <c r="L33" s="274"/>
      <c r="M33" s="274" t="s">
        <v>319</v>
      </c>
      <c r="N33" s="274" t="s">
        <v>291</v>
      </c>
      <c r="O33" s="276" t="s">
        <v>292</v>
      </c>
      <c r="P33" s="278" t="s">
        <v>331</v>
      </c>
      <c r="Q33" s="274"/>
      <c r="R33" s="274"/>
      <c r="S33" s="276"/>
      <c r="T33" s="19"/>
      <c r="U33" s="95"/>
      <c r="V33" s="95"/>
      <c r="W33" s="95"/>
    </row>
    <row r="34" spans="1:27" x14ac:dyDescent="0.25">
      <c r="A34" s="273" t="s">
        <v>341</v>
      </c>
      <c r="B34" s="274" t="s">
        <v>342</v>
      </c>
      <c r="C34" s="274" t="s">
        <v>319</v>
      </c>
      <c r="D34" s="277"/>
      <c r="E34" s="274"/>
      <c r="F34" s="274"/>
      <c r="G34" s="274" t="s">
        <v>291</v>
      </c>
      <c r="H34" s="276" t="s">
        <v>291</v>
      </c>
      <c r="I34" s="276" t="s">
        <v>310</v>
      </c>
      <c r="J34" s="276" t="s">
        <v>310</v>
      </c>
      <c r="K34" s="274"/>
      <c r="L34" s="274"/>
      <c r="M34" s="274" t="s">
        <v>310</v>
      </c>
      <c r="N34" s="274" t="s">
        <v>292</v>
      </c>
      <c r="O34" s="278"/>
      <c r="P34" s="278" t="s">
        <v>319</v>
      </c>
      <c r="Q34" s="274"/>
      <c r="R34" s="274"/>
      <c r="S34" s="278"/>
      <c r="T34" s="19"/>
      <c r="U34" s="95"/>
      <c r="V34" s="95"/>
      <c r="W34" s="95"/>
    </row>
    <row r="35" spans="1:27" x14ac:dyDescent="0.25">
      <c r="A35" s="273" t="s">
        <v>27</v>
      </c>
      <c r="B35" s="274" t="s">
        <v>310</v>
      </c>
      <c r="C35" s="274" t="s">
        <v>310</v>
      </c>
      <c r="D35" s="277"/>
      <c r="E35" s="274"/>
      <c r="F35" s="274"/>
      <c r="G35" s="274" t="s">
        <v>292</v>
      </c>
      <c r="H35" s="276" t="s">
        <v>292</v>
      </c>
      <c r="I35" s="276" t="s">
        <v>291</v>
      </c>
      <c r="J35" s="276" t="s">
        <v>291</v>
      </c>
      <c r="K35" s="276"/>
      <c r="L35" s="276"/>
      <c r="M35" s="274" t="s">
        <v>291</v>
      </c>
      <c r="N35" s="274"/>
      <c r="O35" s="278"/>
      <c r="P35" s="278" t="s">
        <v>310</v>
      </c>
      <c r="Q35" s="274"/>
      <c r="R35" s="276"/>
      <c r="S35" s="274"/>
      <c r="T35" s="19"/>
      <c r="U35" s="95"/>
      <c r="V35" s="95"/>
      <c r="W35" s="95"/>
    </row>
    <row r="36" spans="1:27" x14ac:dyDescent="0.25">
      <c r="A36" s="273" t="s">
        <v>343</v>
      </c>
      <c r="B36" s="274" t="s">
        <v>291</v>
      </c>
      <c r="C36" s="274" t="s">
        <v>291</v>
      </c>
      <c r="D36" s="277"/>
      <c r="E36" s="274"/>
      <c r="F36" s="274"/>
      <c r="G36" s="274"/>
      <c r="H36" s="276"/>
      <c r="I36" s="276" t="s">
        <v>292</v>
      </c>
      <c r="J36" s="276" t="s">
        <v>292</v>
      </c>
      <c r="K36" s="276"/>
      <c r="L36" s="276"/>
      <c r="M36" s="276" t="s">
        <v>292</v>
      </c>
      <c r="N36" s="276"/>
      <c r="O36" s="278"/>
      <c r="P36" s="278" t="s">
        <v>291</v>
      </c>
      <c r="Q36" s="278"/>
      <c r="R36" s="278"/>
      <c r="S36" s="278"/>
      <c r="T36" s="7"/>
      <c r="U36" s="95"/>
      <c r="V36" s="95"/>
      <c r="W36" s="95"/>
    </row>
    <row r="37" spans="1:27" x14ac:dyDescent="0.25">
      <c r="A37" s="273" t="s">
        <v>344</v>
      </c>
      <c r="B37" s="274" t="s">
        <v>292</v>
      </c>
      <c r="C37" s="274" t="s">
        <v>292</v>
      </c>
      <c r="D37" s="277"/>
      <c r="E37" s="274"/>
      <c r="F37" s="276"/>
      <c r="G37" s="276"/>
      <c r="H37" s="276"/>
      <c r="I37" s="276"/>
      <c r="J37" s="276"/>
      <c r="K37" s="276"/>
      <c r="L37" s="276"/>
      <c r="M37" s="276"/>
      <c r="N37" s="278"/>
      <c r="O37" s="278"/>
      <c r="P37" s="278" t="s">
        <v>292</v>
      </c>
      <c r="Q37" s="278"/>
      <c r="R37" s="278"/>
      <c r="S37" s="278"/>
      <c r="T37" s="95"/>
      <c r="U37" s="95"/>
      <c r="V37" s="95"/>
      <c r="W37" s="95"/>
    </row>
    <row r="38" spans="1:27" x14ac:dyDescent="0.25">
      <c r="A38" s="273" t="s">
        <v>345</v>
      </c>
      <c r="B38" s="274"/>
      <c r="C38" s="274"/>
      <c r="D38" s="277"/>
      <c r="E38" s="274"/>
      <c r="F38" s="276"/>
      <c r="G38" s="276"/>
      <c r="H38" s="276"/>
      <c r="I38" s="276"/>
      <c r="J38" s="276"/>
      <c r="K38" s="276"/>
      <c r="L38" s="276"/>
      <c r="M38" s="276"/>
      <c r="N38" s="278"/>
      <c r="O38" s="278"/>
      <c r="P38" s="278"/>
      <c r="Q38" s="278"/>
      <c r="R38" s="278"/>
      <c r="S38" s="278"/>
      <c r="T38" s="95"/>
      <c r="U38" s="95"/>
      <c r="V38" s="95"/>
      <c r="W38" s="95"/>
    </row>
    <row r="39" spans="1:27" x14ac:dyDescent="0.25">
      <c r="A39" s="273" t="s">
        <v>346</v>
      </c>
      <c r="B39" s="274"/>
      <c r="C39" s="274"/>
      <c r="D39" s="277"/>
      <c r="E39" s="274"/>
      <c r="F39" s="276"/>
      <c r="G39" s="276"/>
      <c r="H39" s="276"/>
      <c r="I39" s="276"/>
      <c r="J39" s="276"/>
      <c r="K39" s="276"/>
      <c r="L39" s="276"/>
      <c r="M39" s="276"/>
      <c r="N39" s="278"/>
      <c r="O39" s="278"/>
      <c r="P39" s="278"/>
      <c r="Q39" s="278"/>
      <c r="R39" s="278"/>
      <c r="S39" s="278"/>
      <c r="T39" s="95"/>
      <c r="U39" s="95"/>
      <c r="V39" s="95"/>
      <c r="W39" s="95"/>
    </row>
    <row r="40" spans="1:27" x14ac:dyDescent="0.25">
      <c r="A40" s="273" t="s">
        <v>28</v>
      </c>
      <c r="B40" s="274"/>
      <c r="C40" s="274"/>
      <c r="D40" s="277"/>
      <c r="E40" s="274"/>
      <c r="F40" s="276"/>
      <c r="G40" s="276"/>
      <c r="H40" s="276"/>
      <c r="I40" s="276"/>
      <c r="J40" s="276"/>
      <c r="K40" s="276"/>
      <c r="L40" s="276"/>
      <c r="M40" s="276"/>
      <c r="N40" s="278"/>
      <c r="O40" s="278"/>
      <c r="P40" s="278"/>
      <c r="Q40" s="278"/>
      <c r="R40" s="278"/>
      <c r="S40" s="278"/>
      <c r="T40" s="95"/>
      <c r="U40" s="95"/>
      <c r="V40" s="95"/>
      <c r="W40" s="95"/>
    </row>
    <row r="41" spans="1:27" x14ac:dyDescent="0.25">
      <c r="A41" s="273" t="s">
        <v>347</v>
      </c>
      <c r="B41" s="274"/>
      <c r="C41" s="274"/>
      <c r="D41" s="277"/>
      <c r="E41" s="274"/>
      <c r="F41" s="276"/>
      <c r="G41" s="276"/>
      <c r="H41" s="276"/>
      <c r="I41" s="276"/>
      <c r="J41" s="276"/>
      <c r="K41" s="276"/>
      <c r="L41" s="276"/>
      <c r="M41" s="276"/>
      <c r="N41" s="278"/>
      <c r="O41" s="278"/>
      <c r="P41" s="278"/>
      <c r="Q41" s="278"/>
      <c r="R41" s="278"/>
      <c r="S41" s="278"/>
      <c r="T41" s="95"/>
      <c r="U41" s="95"/>
      <c r="V41" s="95"/>
      <c r="W41" s="95"/>
    </row>
    <row r="42" spans="1:27" x14ac:dyDescent="0.25">
      <c r="A42" s="273" t="s">
        <v>29</v>
      </c>
      <c r="B42" s="274"/>
      <c r="C42" s="274"/>
      <c r="D42" s="277"/>
      <c r="E42" s="274"/>
      <c r="F42" s="276"/>
      <c r="G42" s="276"/>
      <c r="H42" s="276"/>
      <c r="I42" s="276"/>
      <c r="J42" s="276"/>
      <c r="K42" s="276"/>
      <c r="L42" s="276"/>
      <c r="M42" s="276"/>
      <c r="N42" s="278"/>
      <c r="O42" s="278"/>
      <c r="P42" s="278"/>
      <c r="Q42" s="278"/>
      <c r="R42" s="278"/>
      <c r="S42" s="278"/>
      <c r="T42" s="95"/>
      <c r="U42" s="95"/>
      <c r="V42" s="95"/>
      <c r="W42" s="95"/>
    </row>
    <row r="43" spans="1:27" x14ac:dyDescent="0.25">
      <c r="A43" s="273" t="s">
        <v>348</v>
      </c>
      <c r="B43" s="274"/>
      <c r="C43" s="274"/>
      <c r="D43" s="277"/>
      <c r="E43" s="274"/>
      <c r="F43" s="276"/>
      <c r="G43" s="276"/>
      <c r="H43" s="276"/>
      <c r="I43" s="276"/>
      <c r="J43" s="276"/>
      <c r="K43" s="276"/>
      <c r="L43" s="276"/>
      <c r="M43" s="276"/>
      <c r="N43" s="278"/>
      <c r="O43" s="278"/>
      <c r="P43" s="278"/>
      <c r="Q43" s="278"/>
      <c r="R43" s="278"/>
      <c r="S43" s="278"/>
      <c r="T43" s="95"/>
      <c r="U43" s="95"/>
      <c r="V43" s="95"/>
      <c r="W43" s="95"/>
    </row>
    <row r="44" spans="1:27" x14ac:dyDescent="0.25">
      <c r="A44" s="273" t="s">
        <v>349</v>
      </c>
      <c r="B44" s="274"/>
      <c r="C44" s="274"/>
      <c r="D44" s="277"/>
      <c r="E44" s="274"/>
      <c r="F44" s="276"/>
      <c r="G44" s="276"/>
      <c r="H44" s="276"/>
      <c r="I44" s="276"/>
      <c r="J44" s="276"/>
      <c r="K44" s="276"/>
      <c r="L44" s="276"/>
      <c r="M44" s="276"/>
      <c r="N44" s="278"/>
      <c r="O44" s="278"/>
      <c r="P44" s="278"/>
      <c r="Q44" s="278"/>
      <c r="R44" s="278"/>
      <c r="S44" s="278"/>
      <c r="T44" s="95"/>
      <c r="U44" s="95"/>
      <c r="V44" s="95"/>
      <c r="W44" s="95"/>
    </row>
    <row r="45" spans="1:27" x14ac:dyDescent="0.25">
      <c r="A45" s="273" t="s">
        <v>30</v>
      </c>
      <c r="B45" s="274"/>
      <c r="C45" s="274"/>
      <c r="D45" s="277"/>
      <c r="E45" s="274"/>
      <c r="F45" s="276"/>
      <c r="G45" s="276"/>
      <c r="H45" s="276"/>
      <c r="I45" s="276"/>
      <c r="J45" s="276"/>
      <c r="K45" s="276"/>
      <c r="L45" s="276"/>
      <c r="M45" s="276"/>
      <c r="N45" s="278"/>
      <c r="O45" s="278"/>
      <c r="P45" s="278"/>
      <c r="Q45" s="278"/>
      <c r="R45" s="278"/>
      <c r="S45" s="278"/>
      <c r="T45" s="95"/>
      <c r="U45" s="95"/>
      <c r="V45" s="95"/>
      <c r="W45" s="95"/>
    </row>
    <row r="46" spans="1:27" x14ac:dyDescent="0.25">
      <c r="A46" s="273" t="s">
        <v>310</v>
      </c>
      <c r="B46" s="274"/>
      <c r="C46" s="274"/>
      <c r="D46" s="277"/>
      <c r="E46" s="274"/>
      <c r="F46" s="276"/>
      <c r="G46" s="276"/>
      <c r="H46" s="276"/>
      <c r="I46" s="276"/>
      <c r="J46" s="276"/>
      <c r="K46" s="276"/>
      <c r="L46" s="276"/>
      <c r="M46" s="276"/>
      <c r="N46" s="278"/>
      <c r="O46" s="278"/>
      <c r="P46" s="278"/>
      <c r="Q46" s="278"/>
      <c r="R46" s="278"/>
      <c r="S46" s="278"/>
      <c r="T46" s="95"/>
      <c r="U46" s="95"/>
      <c r="V46" s="95"/>
      <c r="W46" s="95"/>
    </row>
    <row r="47" spans="1:27" x14ac:dyDescent="0.25">
      <c r="A47" s="273" t="s">
        <v>291</v>
      </c>
      <c r="B47" s="274"/>
      <c r="C47" s="274"/>
      <c r="D47" s="277"/>
      <c r="E47" s="274"/>
      <c r="F47" s="276"/>
      <c r="G47" s="276"/>
      <c r="H47" s="276"/>
      <c r="I47" s="276"/>
      <c r="J47" s="276"/>
      <c r="K47" s="276"/>
      <c r="L47" s="276"/>
      <c r="M47" s="276"/>
      <c r="N47" s="276"/>
      <c r="O47" s="276"/>
      <c r="P47" s="276"/>
      <c r="Q47" s="276"/>
      <c r="R47" s="276"/>
      <c r="S47" s="276"/>
      <c r="T47" s="7"/>
      <c r="U47" s="7"/>
      <c r="V47" s="7"/>
      <c r="W47" s="7"/>
    </row>
    <row r="48" spans="1:27" x14ac:dyDescent="0.25">
      <c r="A48" s="273" t="s">
        <v>292</v>
      </c>
      <c r="B48" s="274"/>
      <c r="C48" s="274"/>
      <c r="D48" s="275"/>
      <c r="E48" s="275"/>
      <c r="F48" s="274"/>
      <c r="G48" s="278"/>
      <c r="H48" s="276"/>
      <c r="I48" s="274"/>
      <c r="J48" s="274"/>
      <c r="K48" s="274"/>
      <c r="L48" s="276"/>
      <c r="M48" s="276"/>
      <c r="N48" s="276"/>
      <c r="O48" s="276"/>
      <c r="P48" s="276"/>
      <c r="Q48" s="276"/>
      <c r="R48" s="274"/>
      <c r="S48" s="276"/>
      <c r="T48" s="67"/>
      <c r="U48" s="67"/>
      <c r="V48" s="67"/>
      <c r="W48" s="67"/>
      <c r="X48" s="67"/>
      <c r="Y48" s="67"/>
      <c r="Z48" s="67"/>
      <c r="AA48" s="67"/>
    </row>
    <row r="49" spans="1:27" x14ac:dyDescent="0.25">
      <c r="A49" s="66"/>
      <c r="B49" s="52"/>
      <c r="C49" s="19"/>
      <c r="D49" s="99"/>
      <c r="E49" s="99"/>
      <c r="F49" s="19"/>
      <c r="H49" s="67"/>
      <c r="I49" s="52"/>
      <c r="J49" s="52"/>
      <c r="K49" s="52"/>
      <c r="L49" s="67"/>
      <c r="M49" s="67"/>
      <c r="N49" s="67"/>
      <c r="O49" s="67"/>
      <c r="P49" s="67"/>
      <c r="Q49" s="67"/>
      <c r="R49" s="52"/>
      <c r="S49" s="67"/>
      <c r="T49" s="67"/>
      <c r="U49" s="67"/>
      <c r="V49" s="67"/>
      <c r="W49" s="67"/>
      <c r="X49" s="67"/>
      <c r="Y49" s="67"/>
      <c r="Z49" s="67"/>
      <c r="AA49" s="67"/>
    </row>
    <row r="50" spans="1:27" x14ac:dyDescent="0.25">
      <c r="A50" s="66"/>
      <c r="B50" s="52"/>
      <c r="C50" s="19"/>
      <c r="D50" s="99"/>
      <c r="E50" s="99"/>
      <c r="F50" s="19"/>
      <c r="H50" s="67"/>
      <c r="I50" s="52"/>
      <c r="J50" s="52"/>
      <c r="K50" s="67"/>
      <c r="L50" s="67"/>
      <c r="M50" s="67"/>
      <c r="N50" s="67"/>
      <c r="O50" s="67"/>
      <c r="P50" s="67"/>
      <c r="Q50" s="67"/>
      <c r="R50" s="67"/>
      <c r="S50" s="67"/>
      <c r="T50" s="67"/>
      <c r="U50" s="67"/>
      <c r="V50" s="67"/>
      <c r="W50" s="67"/>
      <c r="X50" s="67"/>
      <c r="Y50" s="67"/>
      <c r="Z50" s="67"/>
      <c r="AA50" s="67"/>
    </row>
    <row r="51" spans="1:27" x14ac:dyDescent="0.25">
      <c r="A51" s="66"/>
      <c r="B51" s="66"/>
    </row>
    <row r="52" spans="1:27" x14ac:dyDescent="0.25">
      <c r="A52" s="85" t="s">
        <v>18</v>
      </c>
      <c r="B52" s="84" t="s">
        <v>42</v>
      </c>
    </row>
    <row r="53" spans="1:27" x14ac:dyDescent="0.25">
      <c r="A53" s="66"/>
      <c r="B53" s="84" t="s">
        <v>244</v>
      </c>
    </row>
    <row r="54" spans="1:27" x14ac:dyDescent="0.25">
      <c r="A54" s="66"/>
      <c r="B54" s="67"/>
    </row>
    <row r="55" spans="1:27" x14ac:dyDescent="0.25">
      <c r="A55" s="67"/>
      <c r="B55" s="67"/>
    </row>
    <row r="56" spans="1:27" x14ac:dyDescent="0.25">
      <c r="A56" s="67"/>
      <c r="B56" s="68"/>
    </row>
    <row r="57" spans="1:27" x14ac:dyDescent="0.25">
      <c r="A57" s="91" t="s">
        <v>73</v>
      </c>
      <c r="B57" s="548" t="s">
        <v>875</v>
      </c>
    </row>
    <row r="58" spans="1:27" ht="14.25" customHeight="1" x14ac:dyDescent="0.25">
      <c r="A58" s="67"/>
      <c r="B58" s="548" t="s">
        <v>879</v>
      </c>
    </row>
    <row r="59" spans="1:27" x14ac:dyDescent="0.25">
      <c r="A59" s="67"/>
      <c r="B59" s="548" t="s">
        <v>876</v>
      </c>
    </row>
    <row r="60" spans="1:27" ht="15" customHeight="1" x14ac:dyDescent="0.25">
      <c r="A60" s="67"/>
      <c r="B60" s="548" t="s">
        <v>877</v>
      </c>
    </row>
    <row r="61" spans="1:27" x14ac:dyDescent="0.25">
      <c r="B61" s="548" t="s">
        <v>878</v>
      </c>
    </row>
    <row r="62" spans="1:27" ht="9.9499999999999993" customHeight="1" x14ac:dyDescent="0.25">
      <c r="B62" s="549" t="s">
        <v>840</v>
      </c>
    </row>
    <row r="63" spans="1:27" ht="9.9499999999999993" customHeight="1" x14ac:dyDescent="0.25"/>
    <row r="64" spans="1:27" ht="9.9499999999999993" customHeight="1" x14ac:dyDescent="0.25"/>
    <row r="65" spans="1:12" ht="15.75" customHeight="1" x14ac:dyDescent="0.25">
      <c r="A65" s="514" t="s">
        <v>1167</v>
      </c>
      <c r="B65" s="523" t="s">
        <v>785</v>
      </c>
    </row>
    <row r="66" spans="1:12" ht="9.9499999999999993" customHeight="1" thickBot="1" x14ac:dyDescent="0.3"/>
    <row r="67" spans="1:12" s="14" customFormat="1" ht="15" customHeight="1" thickBot="1" x14ac:dyDescent="0.3">
      <c r="A67" s="102" t="s">
        <v>16</v>
      </c>
      <c r="B67" s="102" t="s">
        <v>138</v>
      </c>
      <c r="C67" s="102" t="s">
        <v>141</v>
      </c>
      <c r="D67" s="103" t="s">
        <v>142</v>
      </c>
      <c r="E67" s="103" t="s">
        <v>143</v>
      </c>
      <c r="F67" s="102" t="s">
        <v>17</v>
      </c>
      <c r="G67" s="102" t="s">
        <v>84</v>
      </c>
      <c r="H67" s="102" t="s">
        <v>144</v>
      </c>
      <c r="I67" s="102" t="s">
        <v>145</v>
      </c>
      <c r="J67" s="102" t="s">
        <v>146</v>
      </c>
      <c r="K67" s="104" t="s">
        <v>147</v>
      </c>
      <c r="L67" s="104" t="s">
        <v>152</v>
      </c>
    </row>
    <row r="68" spans="1:12" s="14" customFormat="1" ht="15" customHeight="1" thickBot="1" x14ac:dyDescent="0.3">
      <c r="A68" s="105" t="str">
        <f>IF(Basisdaten!C6="","",Basisdaten!C6)</f>
        <v/>
      </c>
      <c r="B68" s="106" t="str">
        <f>IF($A$68="","",VLOOKUP($A$68,$A$71:$J$244,2,FALSE))</f>
        <v/>
      </c>
      <c r="C68" s="106" t="str">
        <f>IF($A$68="","",VLOOKUP($A$68,$A$71:$J$244,3,FALSE))</f>
        <v/>
      </c>
      <c r="D68" s="107" t="str">
        <f>IF($A$68="","",VLOOKUP($A$68,$A$71:$J$244,4,FALSE))</f>
        <v/>
      </c>
      <c r="E68" s="107" t="str">
        <f>IF($A$68="","",VLOOKUP($A$68,$A$71:$J$244,5,FALSE))</f>
        <v/>
      </c>
      <c r="F68" s="106" t="str">
        <f>IF($A$68="","",VLOOKUP($A$68,$A$71:$J$244,6,FALSE))</f>
        <v/>
      </c>
      <c r="G68" s="108" t="str">
        <f>IF($A$68="","",VLOOKUP($A$68,$A$71:$J$244,7,FALSE))</f>
        <v/>
      </c>
      <c r="H68" s="106" t="str">
        <f>IF($A$68="","",VLOOKUP($A$68,$A$71:$J$244,8,FALSE))</f>
        <v/>
      </c>
      <c r="I68" s="106" t="str">
        <f>IF($A$68="","",VLOOKUP($A$68,$A$71:$J$244,9,FALSE))</f>
        <v/>
      </c>
      <c r="J68" s="108" t="str">
        <f>IF($A$68="","",VLOOKUP($A$68,$A$71:$J$244,10,FALSE))</f>
        <v/>
      </c>
      <c r="K68" s="108"/>
      <c r="L68" s="106"/>
    </row>
    <row r="70" spans="1:12" s="14" customFormat="1" x14ac:dyDescent="0.25">
      <c r="A70" s="171" t="s">
        <v>16</v>
      </c>
      <c r="B70" s="171" t="s">
        <v>138</v>
      </c>
      <c r="C70" s="171" t="s">
        <v>141</v>
      </c>
      <c r="D70" s="109" t="s">
        <v>142</v>
      </c>
      <c r="E70" s="109" t="s">
        <v>143</v>
      </c>
      <c r="F70" s="171" t="s">
        <v>17</v>
      </c>
      <c r="G70" s="171" t="s">
        <v>84</v>
      </c>
      <c r="H70" s="101" t="s">
        <v>144</v>
      </c>
      <c r="I70" s="101" t="s">
        <v>151</v>
      </c>
      <c r="J70" s="101" t="s">
        <v>146</v>
      </c>
      <c r="K70" s="101"/>
      <c r="L70" s="101"/>
    </row>
    <row r="71" spans="1:12" ht="12.95" customHeight="1" x14ac:dyDescent="0.25">
      <c r="A71" s="173" t="s">
        <v>993</v>
      </c>
      <c r="B71" s="173" t="s">
        <v>752</v>
      </c>
      <c r="C71" s="173" t="s">
        <v>793</v>
      </c>
      <c r="D71" s="174"/>
      <c r="E71" s="174" t="s">
        <v>148</v>
      </c>
      <c r="F71" s="174" t="s">
        <v>55</v>
      </c>
      <c r="G71" s="172">
        <v>39423</v>
      </c>
      <c r="H71" s="79"/>
      <c r="I71" s="79"/>
      <c r="J71" s="79"/>
      <c r="K71" s="79"/>
      <c r="L71" s="79"/>
    </row>
    <row r="72" spans="1:12" ht="12.95" customHeight="1" x14ac:dyDescent="0.25">
      <c r="A72" s="173" t="s">
        <v>994</v>
      </c>
      <c r="B72" s="173" t="s">
        <v>161</v>
      </c>
      <c r="C72" s="173" t="s">
        <v>162</v>
      </c>
      <c r="D72" s="174"/>
      <c r="E72" s="174" t="s">
        <v>148</v>
      </c>
      <c r="F72" s="174" t="s">
        <v>55</v>
      </c>
      <c r="G72" s="172">
        <v>39413</v>
      </c>
      <c r="H72" s="79"/>
      <c r="I72" s="79"/>
      <c r="J72" s="79"/>
      <c r="K72" s="79"/>
      <c r="L72" s="79"/>
    </row>
    <row r="73" spans="1:12" ht="12.95" customHeight="1" x14ac:dyDescent="0.25">
      <c r="A73" s="173" t="s">
        <v>995</v>
      </c>
      <c r="B73" s="173" t="s">
        <v>531</v>
      </c>
      <c r="C73" s="173" t="s">
        <v>163</v>
      </c>
      <c r="D73" s="174"/>
      <c r="E73" s="174" t="s">
        <v>148</v>
      </c>
      <c r="F73" s="174" t="s">
        <v>52</v>
      </c>
      <c r="G73" s="172">
        <v>39420</v>
      </c>
      <c r="H73" s="79"/>
      <c r="I73" s="79"/>
      <c r="J73" s="79"/>
      <c r="K73" s="79"/>
      <c r="L73" s="79"/>
    </row>
    <row r="74" spans="1:12" ht="12.95" customHeight="1" x14ac:dyDescent="0.25">
      <c r="A74" s="173" t="s">
        <v>996</v>
      </c>
      <c r="B74" s="173" t="s">
        <v>841</v>
      </c>
      <c r="C74" s="173" t="s">
        <v>532</v>
      </c>
      <c r="D74" s="174"/>
      <c r="E74" s="174" t="s">
        <v>148</v>
      </c>
      <c r="F74" s="174" t="s">
        <v>52</v>
      </c>
      <c r="G74" s="172">
        <v>39421</v>
      </c>
      <c r="H74" s="79"/>
      <c r="I74" s="79"/>
      <c r="J74" s="79"/>
      <c r="K74" s="79"/>
      <c r="L74" s="79"/>
    </row>
    <row r="75" spans="1:12" ht="12.95" customHeight="1" x14ac:dyDescent="0.25">
      <c r="A75" s="173" t="s">
        <v>997</v>
      </c>
      <c r="B75" s="173" t="s">
        <v>533</v>
      </c>
      <c r="C75" s="173" t="s">
        <v>150</v>
      </c>
      <c r="D75" s="174"/>
      <c r="E75" s="174" t="s">
        <v>148</v>
      </c>
      <c r="F75" s="174" t="s">
        <v>52</v>
      </c>
      <c r="G75" s="172">
        <v>39423</v>
      </c>
      <c r="H75" s="79"/>
      <c r="I75" s="79"/>
      <c r="J75" s="79"/>
      <c r="K75" s="79"/>
      <c r="L75" s="79"/>
    </row>
    <row r="76" spans="1:12" ht="12.95" customHeight="1" x14ac:dyDescent="0.25">
      <c r="A76" s="173" t="s">
        <v>998</v>
      </c>
      <c r="B76" s="173" t="s">
        <v>164</v>
      </c>
      <c r="C76" s="173" t="s">
        <v>534</v>
      </c>
      <c r="D76" s="174"/>
      <c r="E76" s="174" t="s">
        <v>148</v>
      </c>
      <c r="F76" s="174" t="s">
        <v>49</v>
      </c>
      <c r="G76" s="172">
        <v>39423</v>
      </c>
      <c r="H76" s="79"/>
      <c r="I76" s="79"/>
      <c r="J76" s="79"/>
      <c r="K76" s="79"/>
      <c r="L76" s="79"/>
    </row>
    <row r="77" spans="1:12" ht="12.95" customHeight="1" x14ac:dyDescent="0.25">
      <c r="A77" s="173" t="s">
        <v>999</v>
      </c>
      <c r="B77" s="173" t="s">
        <v>165</v>
      </c>
      <c r="C77" s="173" t="s">
        <v>594</v>
      </c>
      <c r="D77" s="174"/>
      <c r="E77" s="174" t="s">
        <v>148</v>
      </c>
      <c r="F77" s="174" t="s">
        <v>48</v>
      </c>
      <c r="G77" s="172">
        <v>39423</v>
      </c>
      <c r="H77" s="79"/>
      <c r="I77" s="79"/>
      <c r="J77" s="79"/>
      <c r="K77" s="79"/>
      <c r="L77" s="79"/>
    </row>
    <row r="78" spans="1:12" ht="12.95" customHeight="1" x14ac:dyDescent="0.25">
      <c r="A78" s="173" t="s">
        <v>1000</v>
      </c>
      <c r="B78" s="173" t="s">
        <v>794</v>
      </c>
      <c r="C78" s="173" t="s">
        <v>685</v>
      </c>
      <c r="D78" s="174"/>
      <c r="E78" s="174" t="s">
        <v>148</v>
      </c>
      <c r="F78" s="174" t="s">
        <v>43</v>
      </c>
      <c r="G78" s="172">
        <v>39423</v>
      </c>
      <c r="H78" s="79"/>
      <c r="I78" s="79"/>
      <c r="J78" s="79"/>
      <c r="K78" s="79"/>
      <c r="L78" s="79"/>
    </row>
    <row r="79" spans="1:12" ht="12.95" customHeight="1" x14ac:dyDescent="0.25">
      <c r="A79" s="173" t="s">
        <v>1001</v>
      </c>
      <c r="B79" s="173" t="s">
        <v>166</v>
      </c>
      <c r="C79" s="173" t="s">
        <v>575</v>
      </c>
      <c r="D79" s="174"/>
      <c r="E79" s="174" t="s">
        <v>148</v>
      </c>
      <c r="F79" s="174" t="s">
        <v>44</v>
      </c>
      <c r="G79" s="172">
        <v>39420</v>
      </c>
      <c r="H79" s="79"/>
      <c r="I79" s="79"/>
      <c r="J79" s="79"/>
      <c r="K79" s="79"/>
      <c r="L79" s="79"/>
    </row>
    <row r="80" spans="1:12" ht="12.95" customHeight="1" x14ac:dyDescent="0.25">
      <c r="A80" s="173" t="s">
        <v>1002</v>
      </c>
      <c r="B80" s="173" t="s">
        <v>167</v>
      </c>
      <c r="C80" s="173" t="s">
        <v>168</v>
      </c>
      <c r="D80" s="174"/>
      <c r="E80" s="174" t="s">
        <v>148</v>
      </c>
      <c r="F80" s="174" t="s">
        <v>44</v>
      </c>
      <c r="G80" s="172">
        <v>39597</v>
      </c>
      <c r="H80" s="79"/>
      <c r="I80" s="79"/>
      <c r="J80" s="79"/>
      <c r="K80" s="79"/>
      <c r="L80" s="79"/>
    </row>
    <row r="81" spans="1:12" ht="12.95" customHeight="1" x14ac:dyDescent="0.25">
      <c r="A81" s="173" t="s">
        <v>1003</v>
      </c>
      <c r="B81" s="173" t="s">
        <v>963</v>
      </c>
      <c r="C81" s="173" t="s">
        <v>576</v>
      </c>
      <c r="D81" s="174"/>
      <c r="E81" s="174" t="s">
        <v>148</v>
      </c>
      <c r="F81" s="174" t="s">
        <v>53</v>
      </c>
      <c r="G81" s="172">
        <v>39514</v>
      </c>
      <c r="H81" s="79"/>
      <c r="I81" s="79"/>
      <c r="J81" s="79"/>
      <c r="K81" s="79"/>
      <c r="L81" s="79"/>
    </row>
    <row r="82" spans="1:12" ht="12.95" customHeight="1" x14ac:dyDescent="0.25">
      <c r="A82" s="173" t="s">
        <v>1004</v>
      </c>
      <c r="B82" s="173" t="s">
        <v>169</v>
      </c>
      <c r="C82" s="173" t="s">
        <v>156</v>
      </c>
      <c r="D82" s="174"/>
      <c r="E82" s="174" t="s">
        <v>148</v>
      </c>
      <c r="F82" s="174" t="s">
        <v>49</v>
      </c>
      <c r="G82" s="172">
        <v>39612</v>
      </c>
      <c r="H82" s="79"/>
      <c r="I82" s="79"/>
      <c r="J82" s="79"/>
      <c r="K82" s="79"/>
      <c r="L82" s="79"/>
    </row>
    <row r="83" spans="1:12" ht="12.95" customHeight="1" x14ac:dyDescent="0.25">
      <c r="A83" s="173" t="s">
        <v>1005</v>
      </c>
      <c r="B83" s="173" t="s">
        <v>535</v>
      </c>
      <c r="C83" s="173" t="s">
        <v>170</v>
      </c>
      <c r="D83" s="174"/>
      <c r="E83" s="174" t="s">
        <v>148</v>
      </c>
      <c r="F83" s="174" t="s">
        <v>45</v>
      </c>
      <c r="G83" s="172">
        <v>39504</v>
      </c>
      <c r="H83" s="79"/>
      <c r="I83" s="79"/>
      <c r="J83" s="79"/>
      <c r="K83" s="79"/>
      <c r="L83" s="79"/>
    </row>
    <row r="84" spans="1:12" ht="12.95" customHeight="1" x14ac:dyDescent="0.25">
      <c r="A84" s="173" t="s">
        <v>1006</v>
      </c>
      <c r="B84" s="173" t="s">
        <v>535</v>
      </c>
      <c r="C84" s="173" t="s">
        <v>697</v>
      </c>
      <c r="D84" s="174"/>
      <c r="E84" s="174" t="s">
        <v>148</v>
      </c>
      <c r="F84" s="174" t="s">
        <v>45</v>
      </c>
      <c r="G84" s="172">
        <v>39504</v>
      </c>
      <c r="H84" s="79"/>
      <c r="I84" s="79"/>
      <c r="J84" s="79"/>
      <c r="K84" s="79"/>
      <c r="L84" s="79"/>
    </row>
    <row r="85" spans="1:12" ht="12.95" customHeight="1" x14ac:dyDescent="0.25">
      <c r="A85" s="173" t="s">
        <v>1007</v>
      </c>
      <c r="B85" s="173" t="s">
        <v>842</v>
      </c>
      <c r="C85" s="173" t="s">
        <v>843</v>
      </c>
      <c r="D85" s="174"/>
      <c r="E85" s="174" t="s">
        <v>148</v>
      </c>
      <c r="F85" s="174" t="s">
        <v>56</v>
      </c>
      <c r="G85" s="172">
        <v>39626</v>
      </c>
      <c r="H85" s="79"/>
      <c r="I85" s="79"/>
      <c r="J85" s="79"/>
      <c r="K85" s="79"/>
      <c r="L85" s="79"/>
    </row>
    <row r="86" spans="1:12" ht="12.95" customHeight="1" x14ac:dyDescent="0.25">
      <c r="A86" s="173" t="s">
        <v>1008</v>
      </c>
      <c r="B86" s="173" t="s">
        <v>171</v>
      </c>
      <c r="C86" s="173" t="s">
        <v>536</v>
      </c>
      <c r="D86" s="174"/>
      <c r="E86" s="174" t="s">
        <v>148</v>
      </c>
      <c r="F86" s="174" t="s">
        <v>43</v>
      </c>
      <c r="G86" s="172">
        <v>39626</v>
      </c>
      <c r="H86" s="79"/>
      <c r="I86" s="79"/>
      <c r="J86" s="79"/>
      <c r="K86" s="79"/>
      <c r="L86" s="79"/>
    </row>
    <row r="87" spans="1:12" ht="12.95" customHeight="1" x14ac:dyDescent="0.25">
      <c r="A87" s="173" t="s">
        <v>1009</v>
      </c>
      <c r="B87" s="173" t="s">
        <v>434</v>
      </c>
      <c r="C87" s="173" t="s">
        <v>595</v>
      </c>
      <c r="D87" s="174"/>
      <c r="E87" s="174" t="s">
        <v>148</v>
      </c>
      <c r="F87" s="174" t="s">
        <v>44</v>
      </c>
      <c r="G87" s="172">
        <v>41565</v>
      </c>
      <c r="H87" s="79"/>
      <c r="I87" s="79"/>
      <c r="J87" s="79"/>
      <c r="K87" s="79"/>
      <c r="L87" s="79"/>
    </row>
    <row r="88" spans="1:12" ht="12.95" customHeight="1" x14ac:dyDescent="0.25">
      <c r="A88" s="173" t="s">
        <v>1010</v>
      </c>
      <c r="B88" s="173" t="s">
        <v>172</v>
      </c>
      <c r="C88" s="173" t="s">
        <v>173</v>
      </c>
      <c r="D88" s="174"/>
      <c r="E88" s="174" t="s">
        <v>148</v>
      </c>
      <c r="F88" s="174" t="s">
        <v>43</v>
      </c>
      <c r="G88" s="172">
        <v>39595</v>
      </c>
      <c r="H88" s="79"/>
      <c r="I88" s="79"/>
      <c r="J88" s="79"/>
      <c r="K88" s="79"/>
      <c r="L88" s="79"/>
    </row>
    <row r="89" spans="1:12" ht="12.95" customHeight="1" x14ac:dyDescent="0.25">
      <c r="A89" s="173" t="s">
        <v>1011</v>
      </c>
      <c r="B89" s="173" t="s">
        <v>174</v>
      </c>
      <c r="C89" s="173" t="s">
        <v>638</v>
      </c>
      <c r="D89" s="174"/>
      <c r="E89" s="174" t="s">
        <v>148</v>
      </c>
      <c r="F89" s="174" t="s">
        <v>51</v>
      </c>
      <c r="G89" s="172">
        <v>39787</v>
      </c>
      <c r="H89" s="79"/>
      <c r="I89" s="79"/>
      <c r="J89" s="79"/>
      <c r="K89" s="79"/>
      <c r="L89" s="79"/>
    </row>
    <row r="90" spans="1:12" ht="12.95" customHeight="1" x14ac:dyDescent="0.25">
      <c r="A90" s="173" t="s">
        <v>1012</v>
      </c>
      <c r="B90" s="173" t="s">
        <v>686</v>
      </c>
      <c r="C90" s="173" t="s">
        <v>795</v>
      </c>
      <c r="D90" s="174"/>
      <c r="E90" s="174" t="s">
        <v>148</v>
      </c>
      <c r="F90" s="174" t="s">
        <v>43</v>
      </c>
      <c r="G90" s="172">
        <v>39969</v>
      </c>
      <c r="H90" s="79"/>
      <c r="I90" s="79"/>
      <c r="J90" s="79"/>
      <c r="K90" s="79"/>
      <c r="L90" s="79"/>
    </row>
    <row r="91" spans="1:12" ht="12.95" customHeight="1" x14ac:dyDescent="0.25">
      <c r="A91" s="173" t="s">
        <v>1013</v>
      </c>
      <c r="B91" s="173" t="s">
        <v>175</v>
      </c>
      <c r="C91" s="173" t="s">
        <v>176</v>
      </c>
      <c r="D91" s="174"/>
      <c r="E91" s="174" t="s">
        <v>148</v>
      </c>
      <c r="F91" s="174" t="s">
        <v>43</v>
      </c>
      <c r="G91" s="172">
        <v>39682</v>
      </c>
      <c r="H91" s="79"/>
      <c r="I91" s="79"/>
      <c r="J91" s="79"/>
      <c r="K91" s="79"/>
      <c r="L91" s="79"/>
    </row>
    <row r="92" spans="1:12" ht="12.95" customHeight="1" x14ac:dyDescent="0.25">
      <c r="A92" s="173" t="s">
        <v>1014</v>
      </c>
      <c r="B92" s="173" t="s">
        <v>668</v>
      </c>
      <c r="C92" s="173" t="s">
        <v>796</v>
      </c>
      <c r="D92" s="174"/>
      <c r="E92" s="174" t="s">
        <v>148</v>
      </c>
      <c r="F92" s="174" t="s">
        <v>43</v>
      </c>
      <c r="G92" s="172">
        <v>39707</v>
      </c>
      <c r="H92" s="79"/>
      <c r="I92" s="79"/>
      <c r="J92" s="79"/>
      <c r="K92" s="79"/>
      <c r="L92" s="79"/>
    </row>
    <row r="93" spans="1:12" ht="12.95" customHeight="1" x14ac:dyDescent="0.25">
      <c r="A93" s="173" t="s">
        <v>1015</v>
      </c>
      <c r="B93" s="173" t="s">
        <v>177</v>
      </c>
      <c r="C93" s="502" t="s">
        <v>178</v>
      </c>
      <c r="D93" s="503"/>
      <c r="E93" s="174" t="s">
        <v>148</v>
      </c>
      <c r="F93" s="174" t="s">
        <v>52</v>
      </c>
      <c r="G93" s="172">
        <v>39787</v>
      </c>
      <c r="H93" s="79"/>
      <c r="I93" s="79"/>
      <c r="J93" s="79"/>
      <c r="K93" s="79"/>
      <c r="L93" s="79"/>
    </row>
    <row r="94" spans="1:12" ht="12.95" customHeight="1" x14ac:dyDescent="0.25">
      <c r="A94" s="173" t="s">
        <v>1016</v>
      </c>
      <c r="B94" s="173" t="s">
        <v>179</v>
      </c>
      <c r="C94" s="502" t="s">
        <v>180</v>
      </c>
      <c r="D94" s="503"/>
      <c r="E94" s="174" t="s">
        <v>148</v>
      </c>
      <c r="F94" s="174" t="s">
        <v>49</v>
      </c>
      <c r="G94" s="172">
        <v>39709</v>
      </c>
      <c r="H94" s="79"/>
      <c r="I94" s="79"/>
      <c r="J94" s="79"/>
      <c r="K94" s="79"/>
      <c r="L94" s="79"/>
    </row>
    <row r="95" spans="1:12" ht="12.95" customHeight="1" x14ac:dyDescent="0.25">
      <c r="A95" s="173" t="s">
        <v>1017</v>
      </c>
      <c r="B95" s="173" t="s">
        <v>181</v>
      </c>
      <c r="C95" s="173" t="s">
        <v>153</v>
      </c>
      <c r="D95" s="174"/>
      <c r="E95" s="174" t="s">
        <v>148</v>
      </c>
      <c r="F95" s="174" t="s">
        <v>44</v>
      </c>
      <c r="G95" s="172">
        <v>39773</v>
      </c>
      <c r="H95" s="79"/>
      <c r="I95" s="79"/>
      <c r="J95" s="79"/>
      <c r="K95" s="79"/>
      <c r="L95" s="79"/>
    </row>
    <row r="96" spans="1:12" ht="12.95" customHeight="1" x14ac:dyDescent="0.25">
      <c r="A96" s="173" t="s">
        <v>1018</v>
      </c>
      <c r="B96" s="173" t="s">
        <v>964</v>
      </c>
      <c r="C96" s="173" t="s">
        <v>965</v>
      </c>
      <c r="D96" s="174"/>
      <c r="E96" s="174" t="s">
        <v>148</v>
      </c>
      <c r="F96" s="174" t="s">
        <v>44</v>
      </c>
      <c r="G96" s="172">
        <v>39750</v>
      </c>
      <c r="H96" s="79"/>
      <c r="I96" s="79"/>
      <c r="J96" s="79"/>
      <c r="K96" s="79"/>
      <c r="L96" s="79"/>
    </row>
    <row r="97" spans="1:12" ht="12.95" customHeight="1" x14ac:dyDescent="0.25">
      <c r="A97" s="173" t="s">
        <v>1019</v>
      </c>
      <c r="B97" s="173" t="s">
        <v>182</v>
      </c>
      <c r="C97" s="173" t="s">
        <v>157</v>
      </c>
      <c r="D97" s="174"/>
      <c r="E97" s="174" t="s">
        <v>148</v>
      </c>
      <c r="F97" s="174" t="s">
        <v>43</v>
      </c>
      <c r="G97" s="172">
        <v>39791</v>
      </c>
      <c r="H97" s="79"/>
      <c r="I97" s="79"/>
      <c r="J97" s="79"/>
      <c r="K97" s="79"/>
      <c r="L97" s="79"/>
    </row>
    <row r="98" spans="1:12" ht="12.95" customHeight="1" x14ac:dyDescent="0.25">
      <c r="A98" s="173" t="s">
        <v>1020</v>
      </c>
      <c r="B98" s="173" t="s">
        <v>183</v>
      </c>
      <c r="C98" s="173" t="s">
        <v>184</v>
      </c>
      <c r="D98" s="174"/>
      <c r="E98" s="174" t="s">
        <v>148</v>
      </c>
      <c r="F98" s="174" t="s">
        <v>52</v>
      </c>
      <c r="G98" s="172">
        <v>39791</v>
      </c>
      <c r="H98" s="79"/>
      <c r="I98" s="79"/>
      <c r="J98" s="79"/>
      <c r="K98" s="79"/>
      <c r="L98" s="79"/>
    </row>
    <row r="99" spans="1:12" ht="12.95" customHeight="1" x14ac:dyDescent="0.25">
      <c r="A99" s="173" t="s">
        <v>1021</v>
      </c>
      <c r="B99" s="173" t="s">
        <v>185</v>
      </c>
      <c r="C99" s="173" t="s">
        <v>537</v>
      </c>
      <c r="D99" s="174"/>
      <c r="E99" s="174" t="s">
        <v>148</v>
      </c>
      <c r="F99" s="174" t="s">
        <v>56</v>
      </c>
      <c r="G99" s="172">
        <v>39749</v>
      </c>
      <c r="H99" s="79"/>
      <c r="I99" s="79"/>
      <c r="J99" s="79"/>
      <c r="K99" s="79"/>
      <c r="L99" s="79"/>
    </row>
    <row r="100" spans="1:12" ht="12.95" customHeight="1" x14ac:dyDescent="0.25">
      <c r="A100" s="173" t="s">
        <v>1022</v>
      </c>
      <c r="B100" s="173" t="s">
        <v>186</v>
      </c>
      <c r="C100" s="173" t="s">
        <v>596</v>
      </c>
      <c r="D100" s="174"/>
      <c r="E100" s="174" t="s">
        <v>148</v>
      </c>
      <c r="F100" s="174" t="s">
        <v>51</v>
      </c>
      <c r="G100" s="172">
        <v>39875</v>
      </c>
      <c r="H100" s="79"/>
      <c r="I100" s="79"/>
      <c r="J100" s="79"/>
      <c r="K100" s="79"/>
      <c r="L100" s="79"/>
    </row>
    <row r="101" spans="1:12" ht="12.95" customHeight="1" x14ac:dyDescent="0.25">
      <c r="A101" s="173" t="s">
        <v>1023</v>
      </c>
      <c r="B101" s="173" t="s">
        <v>577</v>
      </c>
      <c r="C101" s="173" t="s">
        <v>187</v>
      </c>
      <c r="D101" s="174"/>
      <c r="E101" s="174" t="s">
        <v>148</v>
      </c>
      <c r="F101" s="174" t="s">
        <v>57</v>
      </c>
      <c r="G101" s="172">
        <v>41201</v>
      </c>
      <c r="H101" s="79"/>
      <c r="I101" s="79"/>
      <c r="J101" s="79"/>
      <c r="K101" s="79"/>
      <c r="L101" s="79"/>
    </row>
    <row r="102" spans="1:12" ht="12.95" customHeight="1" x14ac:dyDescent="0.25">
      <c r="A102" s="173" t="s">
        <v>1024</v>
      </c>
      <c r="B102" s="173" t="s">
        <v>597</v>
      </c>
      <c r="C102" s="173" t="s">
        <v>158</v>
      </c>
      <c r="D102" s="174"/>
      <c r="E102" s="174" t="s">
        <v>58</v>
      </c>
      <c r="F102" s="174" t="s">
        <v>58</v>
      </c>
      <c r="G102" s="172">
        <v>39990</v>
      </c>
      <c r="H102" s="79"/>
      <c r="I102" s="79"/>
      <c r="J102" s="79"/>
      <c r="K102" s="79"/>
      <c r="L102" s="79"/>
    </row>
    <row r="103" spans="1:12" ht="12.95" customHeight="1" x14ac:dyDescent="0.25">
      <c r="A103" s="173" t="s">
        <v>1025</v>
      </c>
      <c r="B103" s="173" t="s">
        <v>188</v>
      </c>
      <c r="C103" s="502" t="s">
        <v>538</v>
      </c>
      <c r="D103" s="503"/>
      <c r="E103" s="174" t="s">
        <v>148</v>
      </c>
      <c r="F103" s="174" t="s">
        <v>52</v>
      </c>
      <c r="G103" s="172">
        <v>39974</v>
      </c>
      <c r="H103" s="79"/>
      <c r="I103" s="79"/>
      <c r="J103" s="79"/>
      <c r="K103" s="79"/>
      <c r="L103" s="79"/>
    </row>
    <row r="104" spans="1:12" ht="12.95" customHeight="1" x14ac:dyDescent="0.25">
      <c r="A104" s="173" t="s">
        <v>1026</v>
      </c>
      <c r="B104" s="173" t="s">
        <v>189</v>
      </c>
      <c r="C104" s="502" t="s">
        <v>539</v>
      </c>
      <c r="D104" s="503"/>
      <c r="E104" s="174" t="s">
        <v>148</v>
      </c>
      <c r="F104" s="174" t="s">
        <v>43</v>
      </c>
      <c r="G104" s="172">
        <v>39941</v>
      </c>
      <c r="H104" s="79"/>
      <c r="I104" s="79"/>
      <c r="J104" s="79"/>
      <c r="K104" s="79"/>
      <c r="L104" s="79"/>
    </row>
    <row r="105" spans="1:12" ht="12.95" customHeight="1" x14ac:dyDescent="0.25">
      <c r="A105" s="173" t="s">
        <v>1027</v>
      </c>
      <c r="B105" s="173" t="s">
        <v>578</v>
      </c>
      <c r="C105" s="502" t="s">
        <v>598</v>
      </c>
      <c r="D105" s="503"/>
      <c r="E105" s="174" t="s">
        <v>148</v>
      </c>
      <c r="F105" s="174" t="s">
        <v>43</v>
      </c>
      <c r="G105" s="172">
        <v>40015</v>
      </c>
      <c r="H105" s="79"/>
      <c r="I105" s="79"/>
      <c r="J105" s="79"/>
      <c r="K105" s="79"/>
      <c r="L105" s="79"/>
    </row>
    <row r="106" spans="1:12" ht="12.95" customHeight="1" x14ac:dyDescent="0.25">
      <c r="A106" s="173" t="s">
        <v>1028</v>
      </c>
      <c r="B106" s="173" t="s">
        <v>190</v>
      </c>
      <c r="C106" s="502" t="s">
        <v>844</v>
      </c>
      <c r="D106" s="503"/>
      <c r="E106" s="174" t="s">
        <v>148</v>
      </c>
      <c r="F106" s="174" t="s">
        <v>44</v>
      </c>
      <c r="G106" s="172">
        <v>39947</v>
      </c>
      <c r="H106" s="79"/>
      <c r="I106" s="79"/>
      <c r="J106" s="79"/>
      <c r="K106" s="79"/>
      <c r="L106" s="79"/>
    </row>
    <row r="107" spans="1:12" ht="12.95" customHeight="1" x14ac:dyDescent="0.25">
      <c r="A107" s="173" t="s">
        <v>1029</v>
      </c>
      <c r="B107" s="173" t="s">
        <v>191</v>
      </c>
      <c r="C107" s="173" t="s">
        <v>599</v>
      </c>
      <c r="D107" s="174"/>
      <c r="E107" s="174" t="s">
        <v>148</v>
      </c>
      <c r="F107" s="174" t="s">
        <v>55</v>
      </c>
      <c r="G107" s="172">
        <v>40158</v>
      </c>
      <c r="H107" s="79"/>
      <c r="I107" s="79"/>
      <c r="J107" s="79"/>
      <c r="K107" s="79"/>
      <c r="L107" s="79"/>
    </row>
    <row r="108" spans="1:12" ht="12.95" customHeight="1" x14ac:dyDescent="0.25">
      <c r="A108" s="173" t="s">
        <v>1030</v>
      </c>
      <c r="B108" s="173" t="s">
        <v>192</v>
      </c>
      <c r="C108" s="173" t="s">
        <v>193</v>
      </c>
      <c r="D108" s="174"/>
      <c r="E108" s="174" t="s">
        <v>148</v>
      </c>
      <c r="F108" s="174" t="s">
        <v>43</v>
      </c>
      <c r="G108" s="172">
        <v>40015</v>
      </c>
      <c r="H108" s="79"/>
      <c r="I108" s="79"/>
      <c r="J108" s="79"/>
      <c r="K108" s="79"/>
      <c r="L108" s="79"/>
    </row>
    <row r="109" spans="1:12" ht="12.95" customHeight="1" x14ac:dyDescent="0.25">
      <c r="A109" s="173" t="s">
        <v>1031</v>
      </c>
      <c r="B109" s="173" t="s">
        <v>687</v>
      </c>
      <c r="C109" s="173" t="s">
        <v>540</v>
      </c>
      <c r="D109" s="174"/>
      <c r="E109" s="174" t="s">
        <v>148</v>
      </c>
      <c r="F109" s="174" t="s">
        <v>19</v>
      </c>
      <c r="G109" s="172">
        <v>40066</v>
      </c>
      <c r="H109" s="79"/>
      <c r="I109" s="79"/>
      <c r="J109" s="79"/>
      <c r="K109" s="79"/>
      <c r="L109" s="79"/>
    </row>
    <row r="110" spans="1:12" ht="12.95" customHeight="1" x14ac:dyDescent="0.25">
      <c r="A110" s="173" t="s">
        <v>1032</v>
      </c>
      <c r="B110" s="173" t="s">
        <v>194</v>
      </c>
      <c r="C110" s="173" t="s">
        <v>541</v>
      </c>
      <c r="D110" s="174"/>
      <c r="E110" s="174" t="s">
        <v>148</v>
      </c>
      <c r="F110" s="174" t="s">
        <v>53</v>
      </c>
      <c r="G110" s="172">
        <v>39981</v>
      </c>
      <c r="H110" s="79"/>
      <c r="I110" s="79"/>
      <c r="J110" s="79"/>
      <c r="K110" s="79"/>
      <c r="L110" s="79"/>
    </row>
    <row r="111" spans="1:12" ht="12.95" customHeight="1" x14ac:dyDescent="0.25">
      <c r="A111" s="173" t="s">
        <v>1033</v>
      </c>
      <c r="B111" s="173" t="s">
        <v>688</v>
      </c>
      <c r="C111" s="173" t="s">
        <v>579</v>
      </c>
      <c r="D111" s="174"/>
      <c r="E111" s="174" t="s">
        <v>148</v>
      </c>
      <c r="F111" s="174" t="s">
        <v>52</v>
      </c>
      <c r="G111" s="172">
        <v>39973</v>
      </c>
      <c r="H111" s="79"/>
      <c r="I111" s="79"/>
      <c r="J111" s="79"/>
      <c r="K111" s="79"/>
      <c r="L111" s="79"/>
    </row>
    <row r="112" spans="1:12" ht="12.95" customHeight="1" x14ac:dyDescent="0.25">
      <c r="A112" s="173" t="s">
        <v>1034</v>
      </c>
      <c r="B112" s="173" t="s">
        <v>797</v>
      </c>
      <c r="C112" s="173" t="s">
        <v>580</v>
      </c>
      <c r="D112" s="174"/>
      <c r="E112" s="174" t="s">
        <v>148</v>
      </c>
      <c r="F112" s="174" t="s">
        <v>51</v>
      </c>
      <c r="G112" s="172">
        <v>40039</v>
      </c>
      <c r="H112" s="79"/>
      <c r="I112" s="79"/>
      <c r="J112" s="79"/>
      <c r="K112" s="79"/>
      <c r="L112" s="79"/>
    </row>
    <row r="113" spans="1:12" ht="12.95" customHeight="1" x14ac:dyDescent="0.25">
      <c r="A113" s="173" t="s">
        <v>1035</v>
      </c>
      <c r="B113" s="173" t="s">
        <v>966</v>
      </c>
      <c r="C113" s="173" t="s">
        <v>542</v>
      </c>
      <c r="D113" s="174"/>
      <c r="E113" s="174" t="s">
        <v>148</v>
      </c>
      <c r="F113" s="174" t="s">
        <v>52</v>
      </c>
      <c r="G113" s="172">
        <v>40004</v>
      </c>
      <c r="H113" s="79"/>
      <c r="I113" s="79"/>
      <c r="J113" s="79"/>
      <c r="K113" s="79"/>
      <c r="L113" s="79"/>
    </row>
    <row r="114" spans="1:12" ht="12.95" customHeight="1" x14ac:dyDescent="0.25">
      <c r="A114" s="173" t="s">
        <v>1036</v>
      </c>
      <c r="B114" s="173" t="s">
        <v>195</v>
      </c>
      <c r="C114" s="173" t="s">
        <v>581</v>
      </c>
      <c r="D114" s="174"/>
      <c r="E114" s="174" t="s">
        <v>148</v>
      </c>
      <c r="F114" s="174" t="s">
        <v>52</v>
      </c>
      <c r="G114" s="172">
        <v>40023</v>
      </c>
      <c r="H114" s="79"/>
      <c r="I114" s="79"/>
      <c r="J114" s="79"/>
      <c r="K114" s="79"/>
      <c r="L114" s="79"/>
    </row>
    <row r="115" spans="1:12" ht="12.95" customHeight="1" x14ac:dyDescent="0.25">
      <c r="A115" s="173" t="s">
        <v>1037</v>
      </c>
      <c r="B115" s="173" t="s">
        <v>196</v>
      </c>
      <c r="C115" s="173" t="s">
        <v>582</v>
      </c>
      <c r="D115" s="174"/>
      <c r="E115" s="174" t="s">
        <v>148</v>
      </c>
      <c r="F115" s="174" t="s">
        <v>44</v>
      </c>
      <c r="G115" s="172">
        <v>40127</v>
      </c>
      <c r="H115" s="79"/>
      <c r="I115" s="79"/>
      <c r="J115" s="79"/>
      <c r="K115" s="79"/>
      <c r="L115" s="79"/>
    </row>
    <row r="116" spans="1:12" ht="12.95" customHeight="1" x14ac:dyDescent="0.25">
      <c r="A116" s="173" t="s">
        <v>1038</v>
      </c>
      <c r="B116" s="173" t="s">
        <v>197</v>
      </c>
      <c r="C116" s="173" t="s">
        <v>198</v>
      </c>
      <c r="D116" s="174"/>
      <c r="E116" s="174" t="s">
        <v>148</v>
      </c>
      <c r="F116" s="174" t="s">
        <v>53</v>
      </c>
      <c r="G116" s="172">
        <v>40088</v>
      </c>
      <c r="H116" s="79"/>
      <c r="I116" s="79"/>
      <c r="J116" s="79"/>
      <c r="K116" s="79"/>
      <c r="L116" s="79"/>
    </row>
    <row r="117" spans="1:12" ht="12.95" customHeight="1" x14ac:dyDescent="0.25">
      <c r="A117" s="173" t="s">
        <v>1039</v>
      </c>
      <c r="B117" s="173" t="s">
        <v>600</v>
      </c>
      <c r="C117" s="173" t="s">
        <v>601</v>
      </c>
      <c r="D117" s="174"/>
      <c r="E117" s="174" t="s">
        <v>148</v>
      </c>
      <c r="F117" s="174" t="s">
        <v>44</v>
      </c>
      <c r="G117" s="172">
        <v>42850</v>
      </c>
      <c r="H117" s="79"/>
      <c r="I117" s="79"/>
      <c r="J117" s="79"/>
      <c r="K117" s="79"/>
      <c r="L117" s="79"/>
    </row>
    <row r="118" spans="1:12" ht="12.95" customHeight="1" x14ac:dyDescent="0.25">
      <c r="A118" s="173" t="s">
        <v>1040</v>
      </c>
      <c r="B118" s="173" t="s">
        <v>199</v>
      </c>
      <c r="C118" s="173" t="s">
        <v>154</v>
      </c>
      <c r="D118" s="174"/>
      <c r="E118" s="174" t="s">
        <v>148</v>
      </c>
      <c r="F118" s="174" t="s">
        <v>43</v>
      </c>
      <c r="G118" s="172">
        <v>40158</v>
      </c>
      <c r="H118" s="79"/>
      <c r="I118" s="79"/>
      <c r="J118" s="79"/>
      <c r="K118" s="79"/>
      <c r="L118" s="79"/>
    </row>
    <row r="119" spans="1:12" ht="12.95" customHeight="1" x14ac:dyDescent="0.25">
      <c r="A119" s="173" t="s">
        <v>1041</v>
      </c>
      <c r="B119" s="173" t="s">
        <v>200</v>
      </c>
      <c r="C119" s="173" t="s">
        <v>455</v>
      </c>
      <c r="D119" s="174"/>
      <c r="E119" s="174" t="s">
        <v>148</v>
      </c>
      <c r="F119" s="174" t="s">
        <v>44</v>
      </c>
      <c r="G119" s="172">
        <v>40162</v>
      </c>
      <c r="H119" s="79"/>
      <c r="I119" s="79"/>
      <c r="J119" s="79"/>
      <c r="K119" s="79"/>
      <c r="L119" s="79"/>
    </row>
    <row r="120" spans="1:12" ht="12.95" customHeight="1" x14ac:dyDescent="0.25">
      <c r="A120" s="173" t="s">
        <v>1042</v>
      </c>
      <c r="B120" s="173" t="s">
        <v>201</v>
      </c>
      <c r="C120" s="173" t="s">
        <v>543</v>
      </c>
      <c r="D120" s="174"/>
      <c r="E120" s="174" t="s">
        <v>148</v>
      </c>
      <c r="F120" s="174" t="s">
        <v>43</v>
      </c>
      <c r="G120" s="172">
        <v>40163</v>
      </c>
      <c r="H120" s="79"/>
      <c r="I120" s="79"/>
      <c r="J120" s="79"/>
      <c r="K120" s="79"/>
      <c r="L120" s="79"/>
    </row>
    <row r="121" spans="1:12" ht="12.95" customHeight="1" x14ac:dyDescent="0.25">
      <c r="A121" s="173" t="s">
        <v>1043</v>
      </c>
      <c r="B121" s="173" t="s">
        <v>689</v>
      </c>
      <c r="C121" s="173" t="s">
        <v>690</v>
      </c>
      <c r="D121" s="174"/>
      <c r="E121" s="174" t="s">
        <v>148</v>
      </c>
      <c r="F121" s="174" t="s">
        <v>19</v>
      </c>
      <c r="G121" s="172">
        <v>40246</v>
      </c>
      <c r="H121" s="79"/>
      <c r="I121" s="79"/>
      <c r="J121" s="79"/>
      <c r="K121" s="79"/>
      <c r="L121" s="79"/>
    </row>
    <row r="122" spans="1:12" ht="12.95" customHeight="1" x14ac:dyDescent="0.25">
      <c r="A122" s="173" t="s">
        <v>1044</v>
      </c>
      <c r="B122" s="173" t="s">
        <v>639</v>
      </c>
      <c r="C122" s="173" t="s">
        <v>202</v>
      </c>
      <c r="D122" s="174"/>
      <c r="E122" s="174" t="s">
        <v>148</v>
      </c>
      <c r="F122" s="174" t="s">
        <v>52</v>
      </c>
      <c r="G122" s="172">
        <v>40309</v>
      </c>
      <c r="H122" s="79"/>
      <c r="I122" s="79"/>
      <c r="J122" s="79"/>
      <c r="K122" s="79"/>
      <c r="L122" s="79"/>
    </row>
    <row r="123" spans="1:12" ht="12.95" customHeight="1" x14ac:dyDescent="0.25">
      <c r="A123" s="173" t="s">
        <v>1045</v>
      </c>
      <c r="B123" s="173" t="s">
        <v>640</v>
      </c>
      <c r="C123" s="173" t="s">
        <v>641</v>
      </c>
      <c r="D123" s="174"/>
      <c r="E123" s="174" t="s">
        <v>148</v>
      </c>
      <c r="F123" s="174" t="s">
        <v>51</v>
      </c>
      <c r="G123" s="172">
        <v>40885</v>
      </c>
      <c r="H123" s="79"/>
      <c r="I123" s="79"/>
      <c r="J123" s="79"/>
      <c r="K123" s="79"/>
      <c r="L123" s="79"/>
    </row>
    <row r="124" spans="1:12" ht="12.95" customHeight="1" x14ac:dyDescent="0.25">
      <c r="A124" s="173" t="s">
        <v>1046</v>
      </c>
      <c r="B124" s="173" t="s">
        <v>698</v>
      </c>
      <c r="C124" s="173" t="s">
        <v>699</v>
      </c>
      <c r="D124" s="174"/>
      <c r="E124" s="174" t="s">
        <v>148</v>
      </c>
      <c r="F124" s="174" t="s">
        <v>43</v>
      </c>
      <c r="G124" s="172">
        <v>40353</v>
      </c>
      <c r="H124" s="79"/>
      <c r="I124" s="79"/>
      <c r="J124" s="79"/>
      <c r="K124" s="79"/>
      <c r="L124" s="79"/>
    </row>
    <row r="125" spans="1:12" ht="12.95" customHeight="1" x14ac:dyDescent="0.25">
      <c r="A125" s="173" t="s">
        <v>1047</v>
      </c>
      <c r="B125" s="173" t="s">
        <v>203</v>
      </c>
      <c r="C125" s="173" t="s">
        <v>456</v>
      </c>
      <c r="D125" s="174"/>
      <c r="E125" s="174" t="s">
        <v>148</v>
      </c>
      <c r="F125" s="174" t="s">
        <v>51</v>
      </c>
      <c r="G125" s="175">
        <v>40431</v>
      </c>
      <c r="H125" s="79"/>
      <c r="I125" s="79"/>
      <c r="J125" s="79"/>
      <c r="K125" s="79"/>
      <c r="L125" s="79"/>
    </row>
    <row r="126" spans="1:12" ht="12.95" customHeight="1" x14ac:dyDescent="0.25">
      <c r="A126" s="173" t="s">
        <v>1048</v>
      </c>
      <c r="B126" s="173" t="s">
        <v>204</v>
      </c>
      <c r="C126" s="173" t="s">
        <v>691</v>
      </c>
      <c r="D126" s="174"/>
      <c r="E126" s="174" t="s">
        <v>148</v>
      </c>
      <c r="F126" s="174" t="s">
        <v>46</v>
      </c>
      <c r="G126" s="172">
        <v>40359</v>
      </c>
      <c r="H126" s="79"/>
      <c r="I126" s="79"/>
      <c r="J126" s="79"/>
      <c r="K126" s="79"/>
      <c r="L126" s="79"/>
    </row>
    <row r="127" spans="1:12" ht="12.95" customHeight="1" x14ac:dyDescent="0.25">
      <c r="A127" s="173" t="s">
        <v>1049</v>
      </c>
      <c r="B127" s="173" t="s">
        <v>205</v>
      </c>
      <c r="C127" s="173" t="s">
        <v>149</v>
      </c>
      <c r="D127"/>
      <c r="E127" s="174" t="s">
        <v>148</v>
      </c>
      <c r="F127" s="174" t="s">
        <v>43</v>
      </c>
      <c r="G127" s="172">
        <v>40368</v>
      </c>
      <c r="H127" s="79"/>
      <c r="I127" s="79"/>
      <c r="J127" s="79"/>
      <c r="K127" s="79"/>
      <c r="L127" s="79"/>
    </row>
    <row r="128" spans="1:12" ht="12.95" customHeight="1" x14ac:dyDescent="0.25">
      <c r="A128" s="173" t="s">
        <v>1050</v>
      </c>
      <c r="B128" s="173" t="s">
        <v>753</v>
      </c>
      <c r="C128" s="173" t="s">
        <v>206</v>
      </c>
      <c r="D128" s="174"/>
      <c r="E128" s="174" t="s">
        <v>148</v>
      </c>
      <c r="F128" s="174" t="s">
        <v>44</v>
      </c>
      <c r="G128" s="172">
        <v>40499</v>
      </c>
      <c r="H128" s="79"/>
      <c r="I128" s="79"/>
      <c r="J128" s="79"/>
      <c r="K128" s="79"/>
      <c r="L128" s="79"/>
    </row>
    <row r="129" spans="1:12" ht="12.95" customHeight="1" x14ac:dyDescent="0.25">
      <c r="A129" s="173" t="s">
        <v>1051</v>
      </c>
      <c r="B129" s="173" t="s">
        <v>583</v>
      </c>
      <c r="C129" s="173" t="s">
        <v>207</v>
      </c>
      <c r="D129" s="174"/>
      <c r="E129" s="174" t="s">
        <v>148</v>
      </c>
      <c r="F129" s="174" t="s">
        <v>19</v>
      </c>
      <c r="G129" s="172">
        <v>40676</v>
      </c>
      <c r="H129" s="79"/>
      <c r="I129" s="79"/>
      <c r="J129" s="79"/>
      <c r="K129" s="79"/>
      <c r="L129" s="79"/>
    </row>
    <row r="130" spans="1:12" ht="12.95" customHeight="1" x14ac:dyDescent="0.25">
      <c r="A130" s="173" t="s">
        <v>1052</v>
      </c>
      <c r="B130" s="173" t="s">
        <v>584</v>
      </c>
      <c r="C130" s="173" t="s">
        <v>602</v>
      </c>
      <c r="D130" s="174"/>
      <c r="E130" s="174" t="s">
        <v>148</v>
      </c>
      <c r="F130" s="174" t="s">
        <v>44</v>
      </c>
      <c r="G130" s="172">
        <v>42503</v>
      </c>
      <c r="H130" s="79"/>
      <c r="I130" s="79"/>
      <c r="J130" s="79"/>
      <c r="K130" s="79"/>
      <c r="L130" s="79"/>
    </row>
    <row r="131" spans="1:12" ht="12.95" customHeight="1" x14ac:dyDescent="0.25">
      <c r="A131" s="173" t="s">
        <v>1053</v>
      </c>
      <c r="B131" s="173" t="s">
        <v>700</v>
      </c>
      <c r="C131" s="173" t="s">
        <v>701</v>
      </c>
      <c r="D131" s="174"/>
      <c r="E131" s="174" t="s">
        <v>148</v>
      </c>
      <c r="F131" s="174" t="s">
        <v>52</v>
      </c>
      <c r="G131" s="172">
        <v>40571</v>
      </c>
      <c r="H131" s="79"/>
      <c r="I131" s="79"/>
      <c r="J131" s="79"/>
      <c r="K131" s="79"/>
      <c r="L131" s="79"/>
    </row>
    <row r="132" spans="1:12" ht="12.95" customHeight="1" x14ac:dyDescent="0.25">
      <c r="A132" s="173" t="s">
        <v>1054</v>
      </c>
      <c r="B132" s="173" t="s">
        <v>208</v>
      </c>
      <c r="C132" s="173" t="s">
        <v>209</v>
      </c>
      <c r="D132" s="174"/>
      <c r="E132" s="174" t="s">
        <v>148</v>
      </c>
      <c r="F132" s="174" t="s">
        <v>51</v>
      </c>
      <c r="G132" s="172">
        <v>40626</v>
      </c>
      <c r="H132" s="79"/>
      <c r="I132" s="79"/>
      <c r="J132" s="79"/>
      <c r="K132" s="79"/>
      <c r="L132" s="79"/>
    </row>
    <row r="133" spans="1:12" ht="12.95" customHeight="1" x14ac:dyDescent="0.25">
      <c r="A133" s="173" t="s">
        <v>1055</v>
      </c>
      <c r="B133" s="173" t="s">
        <v>253</v>
      </c>
      <c r="C133" s="173" t="s">
        <v>254</v>
      </c>
      <c r="D133" s="174"/>
      <c r="E133" s="174" t="s">
        <v>148</v>
      </c>
      <c r="F133" s="174" t="s">
        <v>52</v>
      </c>
      <c r="G133" s="172">
        <v>40634</v>
      </c>
      <c r="H133" s="79"/>
      <c r="I133" s="79"/>
      <c r="J133" s="79"/>
      <c r="K133" s="79"/>
      <c r="L133" s="79"/>
    </row>
    <row r="134" spans="1:12" ht="12.95" customHeight="1" x14ac:dyDescent="0.25">
      <c r="A134" s="173" t="s">
        <v>1056</v>
      </c>
      <c r="B134" s="173" t="s">
        <v>716</v>
      </c>
      <c r="C134" s="173" t="s">
        <v>603</v>
      </c>
      <c r="D134"/>
      <c r="E134" s="174" t="s">
        <v>148</v>
      </c>
      <c r="F134" s="174" t="s">
        <v>51</v>
      </c>
      <c r="G134" s="172">
        <v>40626</v>
      </c>
      <c r="H134" s="79"/>
      <c r="I134" s="79"/>
      <c r="J134" s="79"/>
      <c r="K134" s="79"/>
      <c r="L134" s="79"/>
    </row>
    <row r="135" spans="1:12" ht="12.95" customHeight="1" x14ac:dyDescent="0.25">
      <c r="A135" s="173" t="s">
        <v>1057</v>
      </c>
      <c r="B135" s="173" t="s">
        <v>210</v>
      </c>
      <c r="C135" s="173" t="s">
        <v>155</v>
      </c>
      <c r="D135" s="174"/>
      <c r="E135" s="174" t="s">
        <v>148</v>
      </c>
      <c r="F135" s="174" t="s">
        <v>19</v>
      </c>
      <c r="G135" s="172">
        <v>40724</v>
      </c>
      <c r="H135" s="79"/>
      <c r="I135" s="79"/>
      <c r="J135" s="79"/>
      <c r="K135" s="79"/>
      <c r="L135" s="79"/>
    </row>
    <row r="136" spans="1:12" ht="12.95" customHeight="1" x14ac:dyDescent="0.25">
      <c r="A136" s="173" t="s">
        <v>1058</v>
      </c>
      <c r="B136" s="173" t="s">
        <v>544</v>
      </c>
      <c r="C136" s="173" t="s">
        <v>211</v>
      </c>
      <c r="D136" s="174"/>
      <c r="E136" s="174" t="s">
        <v>148</v>
      </c>
      <c r="F136" s="174" t="s">
        <v>55</v>
      </c>
      <c r="G136" s="172">
        <v>40778</v>
      </c>
      <c r="H136" s="79"/>
      <c r="I136" s="79"/>
      <c r="J136" s="79"/>
      <c r="K136" s="79"/>
      <c r="L136" s="79"/>
    </row>
    <row r="137" spans="1:12" ht="12.95" customHeight="1" x14ac:dyDescent="0.25">
      <c r="A137" s="173" t="s">
        <v>1059</v>
      </c>
      <c r="B137" s="173" t="s">
        <v>212</v>
      </c>
      <c r="C137" s="173" t="s">
        <v>213</v>
      </c>
      <c r="D137" s="174"/>
      <c r="E137" s="174" t="s">
        <v>148</v>
      </c>
      <c r="F137" s="174" t="s">
        <v>51</v>
      </c>
      <c r="G137" s="172">
        <v>40806</v>
      </c>
      <c r="H137" s="79"/>
      <c r="I137" s="79"/>
      <c r="J137" s="79"/>
      <c r="K137" s="79"/>
      <c r="L137" s="79"/>
    </row>
    <row r="138" spans="1:12" ht="12.95" customHeight="1" x14ac:dyDescent="0.25">
      <c r="A138" s="173" t="s">
        <v>1060</v>
      </c>
      <c r="B138" s="173" t="s">
        <v>545</v>
      </c>
      <c r="C138" s="173" t="s">
        <v>546</v>
      </c>
      <c r="D138" s="174"/>
      <c r="E138" s="174" t="s">
        <v>148</v>
      </c>
      <c r="F138" s="174" t="s">
        <v>47</v>
      </c>
      <c r="G138" s="172">
        <v>40935</v>
      </c>
      <c r="H138" s="79"/>
      <c r="I138" s="79"/>
      <c r="J138" s="79"/>
      <c r="K138" s="79"/>
      <c r="L138" s="79"/>
    </row>
    <row r="139" spans="1:12" ht="12.95" customHeight="1" x14ac:dyDescent="0.25">
      <c r="A139" s="173" t="s">
        <v>1061</v>
      </c>
      <c r="B139" s="173" t="s">
        <v>967</v>
      </c>
      <c r="C139" s="173" t="s">
        <v>547</v>
      </c>
      <c r="D139" s="174"/>
      <c r="E139" s="174" t="s">
        <v>148</v>
      </c>
      <c r="F139" s="174" t="s">
        <v>50</v>
      </c>
      <c r="G139" s="172">
        <v>40850</v>
      </c>
      <c r="H139" s="79"/>
      <c r="I139" s="79"/>
      <c r="J139" s="79"/>
      <c r="K139" s="79"/>
      <c r="L139" s="79"/>
    </row>
    <row r="140" spans="1:12" ht="12.95" customHeight="1" x14ac:dyDescent="0.25">
      <c r="A140" s="173" t="s">
        <v>1062</v>
      </c>
      <c r="B140" s="173" t="s">
        <v>214</v>
      </c>
      <c r="C140" s="173" t="s">
        <v>548</v>
      </c>
      <c r="D140" s="174"/>
      <c r="E140" s="174" t="s">
        <v>148</v>
      </c>
      <c r="F140" s="174" t="s">
        <v>43</v>
      </c>
      <c r="G140" s="172">
        <v>40806</v>
      </c>
      <c r="H140" s="79"/>
      <c r="I140" s="79"/>
      <c r="J140" s="79"/>
      <c r="K140" s="79"/>
      <c r="L140" s="79"/>
    </row>
    <row r="141" spans="1:12" ht="12.95" customHeight="1" x14ac:dyDescent="0.25">
      <c r="A141" s="173" t="s">
        <v>1063</v>
      </c>
      <c r="B141" s="173" t="s">
        <v>968</v>
      </c>
      <c r="C141" s="173" t="s">
        <v>754</v>
      </c>
      <c r="D141" s="174"/>
      <c r="E141" s="174" t="s">
        <v>148</v>
      </c>
      <c r="F141" s="174" t="s">
        <v>49</v>
      </c>
      <c r="G141" s="172">
        <v>40996</v>
      </c>
      <c r="H141" s="79"/>
      <c r="I141" s="79"/>
      <c r="J141" s="80"/>
      <c r="K141" s="80"/>
      <c r="L141" s="79"/>
    </row>
    <row r="142" spans="1:12" ht="12.95" customHeight="1" x14ac:dyDescent="0.25">
      <c r="A142" s="173" t="s">
        <v>1064</v>
      </c>
      <c r="B142" s="173" t="s">
        <v>215</v>
      </c>
      <c r="C142" s="173" t="s">
        <v>216</v>
      </c>
      <c r="D142" s="174"/>
      <c r="E142" s="174" t="s">
        <v>148</v>
      </c>
      <c r="F142" s="174" t="s">
        <v>44</v>
      </c>
      <c r="G142" s="172">
        <v>40844</v>
      </c>
      <c r="H142" s="79"/>
      <c r="I142" s="79"/>
      <c r="J142" s="80"/>
      <c r="K142" s="80"/>
      <c r="L142" s="79"/>
    </row>
    <row r="143" spans="1:12" ht="12.95" customHeight="1" x14ac:dyDescent="0.25">
      <c r="A143" s="173" t="s">
        <v>1065</v>
      </c>
      <c r="B143" s="173" t="s">
        <v>702</v>
      </c>
      <c r="C143" s="502" t="s">
        <v>703</v>
      </c>
      <c r="D143" s="503"/>
      <c r="E143" s="174" t="s">
        <v>148</v>
      </c>
      <c r="F143" s="174" t="s">
        <v>52</v>
      </c>
      <c r="G143" s="172">
        <v>40891</v>
      </c>
      <c r="H143" s="79"/>
      <c r="I143" s="79"/>
      <c r="J143" s="80"/>
      <c r="K143" s="80"/>
      <c r="L143" s="79"/>
    </row>
    <row r="144" spans="1:12" ht="12.95" customHeight="1" x14ac:dyDescent="0.25">
      <c r="A144" s="173" t="s">
        <v>1066</v>
      </c>
      <c r="B144" s="173" t="s">
        <v>217</v>
      </c>
      <c r="C144" s="502" t="s">
        <v>642</v>
      </c>
      <c r="D144" s="503"/>
      <c r="E144" s="174" t="s">
        <v>148</v>
      </c>
      <c r="F144" s="174" t="s">
        <v>51</v>
      </c>
      <c r="G144" s="172">
        <v>40968</v>
      </c>
      <c r="H144" s="79"/>
      <c r="I144" s="79"/>
      <c r="J144" s="80"/>
      <c r="K144" s="80"/>
      <c r="L144" s="79"/>
    </row>
    <row r="145" spans="1:12" ht="12.95" customHeight="1" x14ac:dyDescent="0.25">
      <c r="A145" s="173" t="s">
        <v>1067</v>
      </c>
      <c r="B145" s="173" t="s">
        <v>218</v>
      </c>
      <c r="C145" s="173" t="s">
        <v>219</v>
      </c>
      <c r="D145" s="174"/>
      <c r="E145" s="174" t="s">
        <v>148</v>
      </c>
      <c r="F145" s="174" t="s">
        <v>53</v>
      </c>
      <c r="G145" s="172">
        <v>41023</v>
      </c>
      <c r="H145" s="79"/>
      <c r="I145" s="79"/>
      <c r="J145" s="80"/>
      <c r="K145" s="80"/>
      <c r="L145" s="79"/>
    </row>
    <row r="146" spans="1:12" ht="12.95" customHeight="1" x14ac:dyDescent="0.25">
      <c r="A146" s="173" t="s">
        <v>1068</v>
      </c>
      <c r="B146" s="173" t="s">
        <v>255</v>
      </c>
      <c r="C146" s="173" t="s">
        <v>755</v>
      </c>
      <c r="D146" s="174"/>
      <c r="E146" s="174" t="s">
        <v>148</v>
      </c>
      <c r="F146" s="174" t="s">
        <v>52</v>
      </c>
      <c r="G146" s="172">
        <v>41044</v>
      </c>
      <c r="H146" s="79"/>
      <c r="I146" s="79"/>
      <c r="J146" s="80"/>
      <c r="K146" s="80"/>
      <c r="L146" s="79"/>
    </row>
    <row r="147" spans="1:12" ht="12.95" customHeight="1" x14ac:dyDescent="0.25">
      <c r="A147" s="173" t="s">
        <v>1069</v>
      </c>
      <c r="B147" s="173" t="s">
        <v>549</v>
      </c>
      <c r="C147" s="502" t="s">
        <v>220</v>
      </c>
      <c r="D147" s="503"/>
      <c r="E147" s="174" t="s">
        <v>148</v>
      </c>
      <c r="F147" s="174" t="s">
        <v>52</v>
      </c>
      <c r="G147" s="172">
        <v>41033</v>
      </c>
      <c r="H147" s="79"/>
      <c r="I147" s="79"/>
      <c r="J147" s="80"/>
      <c r="K147" s="80"/>
      <c r="L147" s="79"/>
    </row>
    <row r="148" spans="1:12" ht="12.95" customHeight="1" x14ac:dyDescent="0.25">
      <c r="A148" s="173" t="s">
        <v>1070</v>
      </c>
      <c r="B148" s="173" t="s">
        <v>550</v>
      </c>
      <c r="C148" s="502" t="s">
        <v>643</v>
      </c>
      <c r="D148" s="503"/>
      <c r="E148" s="174" t="s">
        <v>148</v>
      </c>
      <c r="F148" s="174" t="s">
        <v>52</v>
      </c>
      <c r="G148" s="172">
        <v>41229</v>
      </c>
      <c r="H148" s="79"/>
      <c r="I148" s="79"/>
      <c r="J148" s="80"/>
      <c r="K148" s="80"/>
      <c r="L148" s="79"/>
    </row>
    <row r="149" spans="1:12" ht="12.95" customHeight="1" x14ac:dyDescent="0.25">
      <c r="A149" s="173" t="s">
        <v>1071</v>
      </c>
      <c r="B149" s="173" t="s">
        <v>221</v>
      </c>
      <c r="C149" s="173" t="s">
        <v>222</v>
      </c>
      <c r="D149" s="174"/>
      <c r="E149" s="174" t="s">
        <v>148</v>
      </c>
      <c r="F149" s="174" t="s">
        <v>50</v>
      </c>
      <c r="G149" s="172">
        <v>41250</v>
      </c>
      <c r="H149" s="79"/>
      <c r="I149" s="79"/>
      <c r="J149" s="80"/>
      <c r="K149" s="80"/>
      <c r="L149" s="79"/>
    </row>
    <row r="150" spans="1:12" ht="12.95" customHeight="1" x14ac:dyDescent="0.25">
      <c r="A150" s="173" t="s">
        <v>1072</v>
      </c>
      <c r="B150" s="173" t="s">
        <v>454</v>
      </c>
      <c r="C150" s="173" t="s">
        <v>457</v>
      </c>
      <c r="D150" s="174"/>
      <c r="E150" s="174" t="s">
        <v>148</v>
      </c>
      <c r="F150" s="174" t="s">
        <v>44</v>
      </c>
      <c r="G150" s="172">
        <v>41247</v>
      </c>
      <c r="H150" s="79"/>
      <c r="I150" s="79"/>
      <c r="J150" s="80"/>
      <c r="K150" s="80"/>
      <c r="L150" s="79"/>
    </row>
    <row r="151" spans="1:12" ht="12.95" customHeight="1" x14ac:dyDescent="0.25">
      <c r="A151" s="173" t="s">
        <v>1073</v>
      </c>
      <c r="B151" s="173" t="s">
        <v>405</v>
      </c>
      <c r="C151" s="173" t="s">
        <v>406</v>
      </c>
      <c r="D151" s="174"/>
      <c r="E151" s="174" t="s">
        <v>148</v>
      </c>
      <c r="F151" s="174" t="s">
        <v>55</v>
      </c>
      <c r="G151" s="172">
        <v>41359</v>
      </c>
      <c r="H151" s="79"/>
      <c r="I151" s="79"/>
      <c r="J151" s="80"/>
      <c r="K151" s="80"/>
      <c r="L151" s="79"/>
    </row>
    <row r="152" spans="1:12" ht="12.95" customHeight="1" x14ac:dyDescent="0.25">
      <c r="A152" s="173" t="s">
        <v>1074</v>
      </c>
      <c r="B152" s="173" t="s">
        <v>717</v>
      </c>
      <c r="C152" s="173" t="s">
        <v>692</v>
      </c>
      <c r="D152" s="174"/>
      <c r="E152" s="174" t="s">
        <v>435</v>
      </c>
      <c r="F152" s="174" t="s">
        <v>435</v>
      </c>
      <c r="G152" s="172">
        <v>41597</v>
      </c>
      <c r="H152" s="79"/>
      <c r="I152" s="79"/>
      <c r="J152" s="80"/>
      <c r="K152" s="80"/>
      <c r="L152" s="79"/>
    </row>
    <row r="153" spans="1:12" ht="12.95" customHeight="1" x14ac:dyDescent="0.25">
      <c r="A153" s="173" t="s">
        <v>1075</v>
      </c>
      <c r="B153" s="173" t="s">
        <v>798</v>
      </c>
      <c r="C153" s="173" t="s">
        <v>799</v>
      </c>
      <c r="D153" s="174"/>
      <c r="E153" s="174" t="s">
        <v>148</v>
      </c>
      <c r="F153" s="174" t="s">
        <v>44</v>
      </c>
      <c r="G153" s="172">
        <v>41968</v>
      </c>
      <c r="H153" s="79"/>
      <c r="I153" s="79"/>
      <c r="J153" s="80"/>
      <c r="K153" s="80"/>
      <c r="L153" s="79"/>
    </row>
    <row r="154" spans="1:12" ht="12.95" customHeight="1" x14ac:dyDescent="0.25">
      <c r="A154" s="173" t="s">
        <v>1076</v>
      </c>
      <c r="B154" s="173" t="s">
        <v>800</v>
      </c>
      <c r="C154" s="502" t="s">
        <v>801</v>
      </c>
      <c r="D154" s="503"/>
      <c r="E154" s="174" t="s">
        <v>148</v>
      </c>
      <c r="F154" s="174" t="s">
        <v>52</v>
      </c>
      <c r="G154" s="172">
        <v>41583</v>
      </c>
      <c r="H154" s="79"/>
      <c r="I154" s="79"/>
      <c r="J154" s="80"/>
      <c r="K154" s="80"/>
      <c r="L154" s="79"/>
    </row>
    <row r="155" spans="1:12" ht="12.95" customHeight="1" x14ac:dyDescent="0.25">
      <c r="A155" s="173" t="s">
        <v>1077</v>
      </c>
      <c r="B155" s="173" t="s">
        <v>448</v>
      </c>
      <c r="C155" s="502" t="s">
        <v>449</v>
      </c>
      <c r="D155" s="503"/>
      <c r="E155" s="174" t="s">
        <v>148</v>
      </c>
      <c r="F155" s="174" t="s">
        <v>52</v>
      </c>
      <c r="G155" s="172">
        <v>41689</v>
      </c>
      <c r="H155" s="79"/>
      <c r="I155" s="79"/>
      <c r="J155" s="80"/>
      <c r="K155" s="80"/>
      <c r="L155" s="79"/>
    </row>
    <row r="156" spans="1:12" ht="12.95" customHeight="1" x14ac:dyDescent="0.25">
      <c r="A156" s="173" t="s">
        <v>1078</v>
      </c>
      <c r="B156" s="173" t="s">
        <v>450</v>
      </c>
      <c r="C156" s="173" t="s">
        <v>451</v>
      </c>
      <c r="D156" s="174"/>
      <c r="E156" s="174" t="s">
        <v>148</v>
      </c>
      <c r="F156" s="174" t="s">
        <v>44</v>
      </c>
      <c r="G156" s="172">
        <v>41983</v>
      </c>
      <c r="H156" s="79"/>
      <c r="I156" s="79"/>
      <c r="J156" s="80"/>
      <c r="K156" s="80"/>
      <c r="L156" s="79"/>
    </row>
    <row r="157" spans="1:12" ht="12.95" customHeight="1" x14ac:dyDescent="0.25">
      <c r="A157" s="173" t="s">
        <v>1079</v>
      </c>
      <c r="B157" s="173" t="s">
        <v>452</v>
      </c>
      <c r="C157" s="173" t="s">
        <v>718</v>
      </c>
      <c r="D157" s="174"/>
      <c r="E157" s="174" t="s">
        <v>148</v>
      </c>
      <c r="F157" s="174" t="s">
        <v>51</v>
      </c>
      <c r="G157" s="172">
        <v>41802</v>
      </c>
      <c r="H157" s="79"/>
      <c r="I157" s="79"/>
      <c r="J157" s="80"/>
      <c r="K157" s="80"/>
      <c r="L157" s="79"/>
    </row>
    <row r="158" spans="1:12" ht="12.95" customHeight="1" x14ac:dyDescent="0.25">
      <c r="A158" s="173" t="s">
        <v>1080</v>
      </c>
      <c r="B158" s="173" t="s">
        <v>1081</v>
      </c>
      <c r="C158" s="173" t="s">
        <v>453</v>
      </c>
      <c r="D158" s="174"/>
      <c r="E158" s="174" t="s">
        <v>58</v>
      </c>
      <c r="F158" s="174" t="s">
        <v>58</v>
      </c>
      <c r="G158" s="172">
        <v>41912</v>
      </c>
      <c r="H158" s="79"/>
      <c r="I158" s="79"/>
      <c r="J158" s="80"/>
      <c r="K158" s="80"/>
      <c r="L158" s="79"/>
    </row>
    <row r="159" spans="1:12" ht="12.95" customHeight="1" x14ac:dyDescent="0.25">
      <c r="A159" s="173" t="s">
        <v>1082</v>
      </c>
      <c r="B159" s="173" t="s">
        <v>462</v>
      </c>
      <c r="C159" s="173" t="s">
        <v>969</v>
      </c>
      <c r="D159" s="174"/>
      <c r="E159" s="174" t="s">
        <v>148</v>
      </c>
      <c r="F159" s="174" t="s">
        <v>52</v>
      </c>
      <c r="G159" s="172">
        <v>42992</v>
      </c>
      <c r="H159" s="79"/>
      <c r="I159" s="79"/>
      <c r="J159" s="80"/>
      <c r="K159" s="80"/>
      <c r="L159" s="79"/>
    </row>
    <row r="160" spans="1:12" ht="12.95" customHeight="1" x14ac:dyDescent="0.25">
      <c r="A160" s="173" t="s">
        <v>1083</v>
      </c>
      <c r="B160" s="173" t="s">
        <v>463</v>
      </c>
      <c r="C160" s="502" t="s">
        <v>464</v>
      </c>
      <c r="D160" s="503"/>
      <c r="E160" s="174" t="s">
        <v>148</v>
      </c>
      <c r="F160" s="174" t="s">
        <v>43</v>
      </c>
      <c r="G160" s="172">
        <v>42118</v>
      </c>
      <c r="H160" s="79"/>
      <c r="I160" s="79"/>
      <c r="J160" s="80"/>
      <c r="K160" s="80"/>
      <c r="L160" s="79"/>
    </row>
    <row r="161" spans="1:12" ht="12.95" customHeight="1" x14ac:dyDescent="0.25">
      <c r="A161" s="173" t="s">
        <v>1084</v>
      </c>
      <c r="B161" s="173" t="s">
        <v>644</v>
      </c>
      <c r="C161" s="173" t="s">
        <v>645</v>
      </c>
      <c r="D161" s="174"/>
      <c r="E161" s="174" t="s">
        <v>148</v>
      </c>
      <c r="F161" s="174" t="s">
        <v>43</v>
      </c>
      <c r="G161" s="172">
        <v>43070</v>
      </c>
      <c r="H161" s="79"/>
      <c r="I161" s="79"/>
      <c r="J161" s="80"/>
      <c r="K161" s="80"/>
      <c r="L161" s="79"/>
    </row>
    <row r="162" spans="1:12" ht="12.95" customHeight="1" x14ac:dyDescent="0.25">
      <c r="A162" s="173" t="s">
        <v>1085</v>
      </c>
      <c r="B162" s="173" t="s">
        <v>551</v>
      </c>
      <c r="C162" s="502" t="s">
        <v>552</v>
      </c>
      <c r="D162" s="503"/>
      <c r="E162" s="174" t="s">
        <v>58</v>
      </c>
      <c r="F162" s="174" t="s">
        <v>58</v>
      </c>
      <c r="G162" s="172">
        <v>42178</v>
      </c>
      <c r="H162" s="79"/>
      <c r="I162" s="79"/>
      <c r="J162" s="80"/>
      <c r="K162" s="80"/>
      <c r="L162" s="79"/>
    </row>
    <row r="163" spans="1:12" ht="12.95" customHeight="1" x14ac:dyDescent="0.25">
      <c r="A163" s="173" t="s">
        <v>1086</v>
      </c>
      <c r="B163" s="173" t="s">
        <v>553</v>
      </c>
      <c r="C163" s="173" t="s">
        <v>554</v>
      </c>
      <c r="D163" s="174"/>
      <c r="E163" s="174" t="s">
        <v>148</v>
      </c>
      <c r="F163" s="174" t="s">
        <v>44</v>
      </c>
      <c r="G163" s="172">
        <v>42290</v>
      </c>
      <c r="H163" s="79"/>
      <c r="I163" s="79"/>
      <c r="J163" s="80"/>
      <c r="K163" s="80"/>
      <c r="L163" s="79"/>
    </row>
    <row r="164" spans="1:12" ht="12.95" customHeight="1" x14ac:dyDescent="0.25">
      <c r="A164" s="173" t="s">
        <v>1087</v>
      </c>
      <c r="B164" s="173" t="s">
        <v>704</v>
      </c>
      <c r="C164" s="502" t="s">
        <v>705</v>
      </c>
      <c r="D164" s="503"/>
      <c r="E164" s="174" t="s">
        <v>148</v>
      </c>
      <c r="F164" s="174" t="s">
        <v>52</v>
      </c>
      <c r="G164" s="172">
        <v>42356</v>
      </c>
      <c r="H164" s="79"/>
      <c r="I164" s="79"/>
      <c r="J164" s="80"/>
      <c r="K164" s="80"/>
      <c r="L164" s="79"/>
    </row>
    <row r="165" spans="1:12" ht="12.95" customHeight="1" x14ac:dyDescent="0.25">
      <c r="A165" s="173" t="s">
        <v>1088</v>
      </c>
      <c r="B165" s="173" t="s">
        <v>802</v>
      </c>
      <c r="C165" s="502" t="s">
        <v>719</v>
      </c>
      <c r="D165" s="503"/>
      <c r="E165" s="174" t="s">
        <v>148</v>
      </c>
      <c r="F165" s="174" t="s">
        <v>52</v>
      </c>
      <c r="G165" s="172">
        <v>42551</v>
      </c>
      <c r="H165" s="79"/>
      <c r="I165" s="79"/>
      <c r="J165" s="80"/>
      <c r="K165" s="80"/>
      <c r="L165" s="79"/>
    </row>
    <row r="166" spans="1:12" ht="12.95" customHeight="1" x14ac:dyDescent="0.25">
      <c r="A166" s="173" t="s">
        <v>1089</v>
      </c>
      <c r="B166" s="173" t="s">
        <v>585</v>
      </c>
      <c r="C166" s="173" t="s">
        <v>586</v>
      </c>
      <c r="D166" s="174"/>
      <c r="E166" s="174" t="s">
        <v>58</v>
      </c>
      <c r="F166" s="174" t="s">
        <v>58</v>
      </c>
      <c r="G166" s="172">
        <v>42486</v>
      </c>
      <c r="H166" s="79"/>
      <c r="I166" s="79"/>
      <c r="J166" s="80"/>
      <c r="K166" s="80"/>
      <c r="L166" s="79"/>
    </row>
    <row r="167" spans="1:12" ht="12.95" customHeight="1" x14ac:dyDescent="0.25">
      <c r="A167" s="173" t="s">
        <v>1090</v>
      </c>
      <c r="B167" s="173" t="s">
        <v>803</v>
      </c>
      <c r="C167" s="502" t="s">
        <v>646</v>
      </c>
      <c r="D167" s="503"/>
      <c r="E167" s="174" t="s">
        <v>148</v>
      </c>
      <c r="F167" s="174" t="s">
        <v>44</v>
      </c>
      <c r="G167" s="172">
        <v>42577</v>
      </c>
      <c r="H167" s="79"/>
      <c r="I167" s="79"/>
      <c r="J167" s="80"/>
      <c r="K167" s="80"/>
      <c r="L167" s="79"/>
    </row>
    <row r="168" spans="1:12" ht="12.95" customHeight="1" x14ac:dyDescent="0.25">
      <c r="A168" s="173" t="s">
        <v>1091</v>
      </c>
      <c r="B168" s="173" t="s">
        <v>587</v>
      </c>
      <c r="C168" s="502" t="s">
        <v>588</v>
      </c>
      <c r="D168" s="503"/>
      <c r="E168" s="174" t="s">
        <v>148</v>
      </c>
      <c r="F168" s="174" t="s">
        <v>57</v>
      </c>
      <c r="G168" s="172">
        <v>42542</v>
      </c>
      <c r="H168" s="79"/>
      <c r="I168" s="79"/>
      <c r="J168" s="80"/>
      <c r="K168" s="80"/>
      <c r="L168" s="79"/>
    </row>
    <row r="169" spans="1:12" ht="12.95" customHeight="1" x14ac:dyDescent="0.25">
      <c r="A169" s="173" t="s">
        <v>1092</v>
      </c>
      <c r="B169" s="173" t="s">
        <v>589</v>
      </c>
      <c r="C169" s="502" t="s">
        <v>845</v>
      </c>
      <c r="D169" s="503"/>
      <c r="E169" s="174" t="s">
        <v>148</v>
      </c>
      <c r="F169" s="174" t="s">
        <v>52</v>
      </c>
      <c r="G169" s="172">
        <v>42599</v>
      </c>
      <c r="H169" s="79"/>
      <c r="I169" s="79"/>
      <c r="J169" s="80"/>
      <c r="K169" s="80"/>
      <c r="L169" s="79"/>
    </row>
    <row r="170" spans="1:12" ht="12.95" customHeight="1" x14ac:dyDescent="0.25">
      <c r="A170" s="173" t="s">
        <v>1093</v>
      </c>
      <c r="B170" s="173" t="s">
        <v>590</v>
      </c>
      <c r="C170" s="173" t="s">
        <v>591</v>
      </c>
      <c r="D170" s="174"/>
      <c r="E170" s="174" t="s">
        <v>58</v>
      </c>
      <c r="F170" s="174" t="s">
        <v>58</v>
      </c>
      <c r="G170" s="172">
        <v>42607</v>
      </c>
      <c r="H170" s="79"/>
      <c r="I170" s="79"/>
      <c r="J170" s="80"/>
      <c r="K170" s="80"/>
      <c r="L170" s="79"/>
    </row>
    <row r="171" spans="1:12" ht="12.95" customHeight="1" x14ac:dyDescent="0.25">
      <c r="A171" s="173" t="s">
        <v>1094</v>
      </c>
      <c r="B171" s="173" t="s">
        <v>604</v>
      </c>
      <c r="C171" s="502" t="s">
        <v>605</v>
      </c>
      <c r="D171" s="503"/>
      <c r="E171" s="174" t="s">
        <v>148</v>
      </c>
      <c r="F171" s="174" t="s">
        <v>53</v>
      </c>
      <c r="G171" s="172">
        <v>42696</v>
      </c>
      <c r="H171" s="79"/>
      <c r="I171" s="79"/>
      <c r="J171" s="80"/>
      <c r="K171" s="80"/>
      <c r="L171" s="79"/>
    </row>
    <row r="172" spans="1:12" ht="12.95" customHeight="1" x14ac:dyDescent="0.25">
      <c r="A172" s="173" t="s">
        <v>1095</v>
      </c>
      <c r="B172" s="173" t="s">
        <v>706</v>
      </c>
      <c r="C172" s="502" t="s">
        <v>707</v>
      </c>
      <c r="D172" s="503"/>
      <c r="E172" s="174" t="s">
        <v>148</v>
      </c>
      <c r="F172" s="174" t="s">
        <v>52</v>
      </c>
      <c r="G172" s="172">
        <v>42668</v>
      </c>
      <c r="H172" s="79"/>
      <c r="I172" s="79"/>
      <c r="J172" s="80"/>
      <c r="K172" s="80"/>
      <c r="L172" s="79"/>
    </row>
    <row r="173" spans="1:12" ht="12.95" customHeight="1" x14ac:dyDescent="0.25">
      <c r="A173" s="173" t="s">
        <v>1096</v>
      </c>
      <c r="B173" s="173" t="s">
        <v>606</v>
      </c>
      <c r="C173" s="173" t="s">
        <v>607</v>
      </c>
      <c r="D173" s="174"/>
      <c r="E173" s="174" t="s">
        <v>148</v>
      </c>
      <c r="F173" s="174" t="s">
        <v>52</v>
      </c>
      <c r="G173" s="172">
        <v>42690</v>
      </c>
      <c r="H173" s="79"/>
      <c r="I173" s="79"/>
      <c r="J173" s="80"/>
      <c r="K173" s="80"/>
      <c r="L173" s="79"/>
    </row>
    <row r="174" spans="1:12" ht="12.95" customHeight="1" x14ac:dyDescent="0.25">
      <c r="A174" s="173" t="s">
        <v>1097</v>
      </c>
      <c r="B174" s="173" t="s">
        <v>608</v>
      </c>
      <c r="C174" s="502" t="s">
        <v>846</v>
      </c>
      <c r="D174" s="503"/>
      <c r="E174" s="174" t="s">
        <v>148</v>
      </c>
      <c r="F174" s="174" t="s">
        <v>52</v>
      </c>
      <c r="G174" s="172">
        <v>42977</v>
      </c>
      <c r="H174" s="79"/>
      <c r="I174" s="79"/>
      <c r="J174" s="80"/>
      <c r="K174" s="80"/>
      <c r="L174" s="79"/>
    </row>
    <row r="175" spans="1:12" ht="12.95" customHeight="1" x14ac:dyDescent="0.25">
      <c r="A175" s="173" t="s">
        <v>1098</v>
      </c>
      <c r="B175" s="173" t="s">
        <v>804</v>
      </c>
      <c r="C175" s="173" t="s">
        <v>805</v>
      </c>
      <c r="D175" s="174"/>
      <c r="E175" s="174" t="s">
        <v>148</v>
      </c>
      <c r="F175" s="174" t="s">
        <v>56</v>
      </c>
      <c r="G175" s="172">
        <v>42724</v>
      </c>
      <c r="H175" s="79"/>
      <c r="I175" s="79"/>
      <c r="J175" s="80"/>
      <c r="K175" s="80"/>
      <c r="L175" s="79"/>
    </row>
    <row r="176" spans="1:12" ht="12.95" customHeight="1" x14ac:dyDescent="0.25">
      <c r="A176" s="173" t="s">
        <v>1099</v>
      </c>
      <c r="B176" s="173" t="s">
        <v>647</v>
      </c>
      <c r="C176" s="502" t="s">
        <v>609</v>
      </c>
      <c r="D176" s="503"/>
      <c r="E176" s="174" t="s">
        <v>58</v>
      </c>
      <c r="F176" s="174" t="s">
        <v>58</v>
      </c>
      <c r="G176" s="172">
        <v>42923</v>
      </c>
      <c r="H176" s="79"/>
      <c r="I176" s="79"/>
      <c r="J176" s="80"/>
      <c r="K176" s="80"/>
      <c r="L176" s="79"/>
    </row>
    <row r="177" spans="1:12" ht="12.95" customHeight="1" x14ac:dyDescent="0.25">
      <c r="A177" s="173" t="s">
        <v>1100</v>
      </c>
      <c r="B177" s="173" t="s">
        <v>847</v>
      </c>
      <c r="C177" s="502" t="s">
        <v>848</v>
      </c>
      <c r="D177" s="503"/>
      <c r="E177" s="174" t="s">
        <v>148</v>
      </c>
      <c r="F177" s="174" t="s">
        <v>52</v>
      </c>
      <c r="G177" s="172">
        <v>42695</v>
      </c>
      <c r="H177" s="79"/>
      <c r="I177" s="79"/>
      <c r="J177" s="80"/>
      <c r="K177" s="80"/>
      <c r="L177" s="79"/>
    </row>
    <row r="178" spans="1:12" ht="12.95" customHeight="1" x14ac:dyDescent="0.25">
      <c r="A178" s="173" t="s">
        <v>1101</v>
      </c>
      <c r="B178" s="173" t="s">
        <v>610</v>
      </c>
      <c r="C178" s="502" t="s">
        <v>693</v>
      </c>
      <c r="D178" s="503"/>
      <c r="E178" s="174" t="s">
        <v>148</v>
      </c>
      <c r="F178" s="174" t="s">
        <v>43</v>
      </c>
      <c r="G178" s="172">
        <v>42915</v>
      </c>
      <c r="H178" s="79"/>
      <c r="I178" s="79"/>
      <c r="J178" s="80"/>
      <c r="K178" s="80"/>
      <c r="L178" s="79"/>
    </row>
    <row r="179" spans="1:12" ht="12.95" customHeight="1" x14ac:dyDescent="0.25">
      <c r="A179" s="173" t="s">
        <v>1102</v>
      </c>
      <c r="B179" s="173" t="s">
        <v>648</v>
      </c>
      <c r="C179" s="173" t="s">
        <v>611</v>
      </c>
      <c r="D179" s="174"/>
      <c r="E179" s="174" t="s">
        <v>58</v>
      </c>
      <c r="F179" s="174" t="s">
        <v>58</v>
      </c>
      <c r="G179" s="172">
        <v>42993</v>
      </c>
      <c r="H179" s="79"/>
      <c r="I179" s="79"/>
      <c r="J179" s="80"/>
      <c r="K179" s="80"/>
      <c r="L179" s="79"/>
    </row>
    <row r="180" spans="1:12" ht="12.95" customHeight="1" x14ac:dyDescent="0.25">
      <c r="A180" s="173" t="s">
        <v>1103</v>
      </c>
      <c r="B180" s="173" t="s">
        <v>756</v>
      </c>
      <c r="C180" s="173" t="s">
        <v>757</v>
      </c>
      <c r="D180" s="174"/>
      <c r="E180" s="174" t="s">
        <v>148</v>
      </c>
      <c r="F180" s="174" t="s">
        <v>52</v>
      </c>
      <c r="G180" s="172">
        <v>44223</v>
      </c>
      <c r="H180" s="79"/>
      <c r="I180" s="79"/>
      <c r="J180" s="80"/>
      <c r="K180" s="80"/>
      <c r="L180" s="79"/>
    </row>
    <row r="181" spans="1:12" ht="12.95" customHeight="1" x14ac:dyDescent="0.25">
      <c r="A181" s="173" t="s">
        <v>1104</v>
      </c>
      <c r="B181" s="173" t="s">
        <v>849</v>
      </c>
      <c r="C181" s="173" t="s">
        <v>850</v>
      </c>
      <c r="D181" s="174"/>
      <c r="E181" s="174" t="s">
        <v>148</v>
      </c>
      <c r="F181" s="174" t="s">
        <v>43</v>
      </c>
      <c r="G181" s="172">
        <v>42940</v>
      </c>
      <c r="H181" s="79"/>
      <c r="I181" s="79"/>
      <c r="J181" s="80"/>
      <c r="K181" s="80"/>
      <c r="L181" s="79"/>
    </row>
    <row r="182" spans="1:12" ht="12.95" customHeight="1" x14ac:dyDescent="0.25">
      <c r="A182" s="173" t="s">
        <v>1105</v>
      </c>
      <c r="B182" s="173" t="s">
        <v>649</v>
      </c>
      <c r="C182" s="502" t="s">
        <v>650</v>
      </c>
      <c r="D182" s="503"/>
      <c r="E182" s="174" t="s">
        <v>148</v>
      </c>
      <c r="F182" s="174" t="s">
        <v>52</v>
      </c>
      <c r="G182" s="172">
        <v>43207</v>
      </c>
      <c r="H182" s="79"/>
      <c r="I182" s="79"/>
      <c r="J182" s="80"/>
      <c r="K182" s="80"/>
      <c r="L182" s="79"/>
    </row>
    <row r="183" spans="1:12" ht="12.95" customHeight="1" x14ac:dyDescent="0.25">
      <c r="A183" s="173" t="s">
        <v>1106</v>
      </c>
      <c r="B183" s="173" t="s">
        <v>651</v>
      </c>
      <c r="C183" s="173" t="s">
        <v>652</v>
      </c>
      <c r="D183" s="174"/>
      <c r="E183" s="174" t="s">
        <v>653</v>
      </c>
      <c r="F183" s="174" t="s">
        <v>653</v>
      </c>
      <c r="G183" s="172">
        <v>43070</v>
      </c>
      <c r="H183" s="79"/>
      <c r="I183" s="79"/>
      <c r="J183" s="80"/>
      <c r="K183" s="80"/>
      <c r="L183" s="79"/>
    </row>
    <row r="184" spans="1:12" ht="12.95" customHeight="1" x14ac:dyDescent="0.25">
      <c r="A184" s="173" t="s">
        <v>1107</v>
      </c>
      <c r="B184" s="173" t="s">
        <v>612</v>
      </c>
      <c r="C184" s="173" t="s">
        <v>613</v>
      </c>
      <c r="D184" s="174"/>
      <c r="E184" s="174" t="s">
        <v>148</v>
      </c>
      <c r="F184" s="174" t="s">
        <v>56</v>
      </c>
      <c r="G184" s="172">
        <v>43427</v>
      </c>
      <c r="H184" s="79"/>
      <c r="I184" s="79"/>
      <c r="J184" s="80"/>
      <c r="K184" s="80"/>
      <c r="L184" s="79"/>
    </row>
    <row r="185" spans="1:12" ht="12.95" customHeight="1" x14ac:dyDescent="0.25">
      <c r="A185" s="173" t="s">
        <v>1108</v>
      </c>
      <c r="B185" s="173" t="s">
        <v>654</v>
      </c>
      <c r="C185" s="173" t="s">
        <v>614</v>
      </c>
      <c r="D185" s="174"/>
      <c r="E185" s="174" t="s">
        <v>148</v>
      </c>
      <c r="F185" s="174" t="s">
        <v>51</v>
      </c>
      <c r="G185" s="172">
        <v>43063</v>
      </c>
      <c r="H185" s="79"/>
      <c r="I185" s="79"/>
      <c r="J185" s="80"/>
      <c r="K185" s="80"/>
      <c r="L185" s="79"/>
    </row>
    <row r="186" spans="1:12" ht="12.95" customHeight="1" x14ac:dyDescent="0.25">
      <c r="A186" s="173" t="s">
        <v>1109</v>
      </c>
      <c r="B186" s="173" t="s">
        <v>655</v>
      </c>
      <c r="C186" s="173" t="s">
        <v>656</v>
      </c>
      <c r="D186" s="174"/>
      <c r="E186" s="174" t="s">
        <v>58</v>
      </c>
      <c r="F186" s="174" t="s">
        <v>58</v>
      </c>
      <c r="G186" s="172">
        <v>43235</v>
      </c>
      <c r="H186" s="79"/>
      <c r="I186" s="79"/>
      <c r="J186" s="80"/>
      <c r="K186" s="80"/>
      <c r="L186" s="79"/>
    </row>
    <row r="187" spans="1:12" ht="12.95" customHeight="1" x14ac:dyDescent="0.25">
      <c r="A187" s="173" t="s">
        <v>1110</v>
      </c>
      <c r="B187" s="173" t="s">
        <v>657</v>
      </c>
      <c r="C187" s="173" t="s">
        <v>658</v>
      </c>
      <c r="D187" s="174"/>
      <c r="E187" s="174" t="s">
        <v>148</v>
      </c>
      <c r="F187" s="174" t="s">
        <v>45</v>
      </c>
      <c r="G187" s="172">
        <v>43235</v>
      </c>
      <c r="H187" s="79"/>
      <c r="I187" s="79"/>
      <c r="J187" s="80"/>
      <c r="K187" s="80"/>
      <c r="L187" s="79"/>
    </row>
    <row r="188" spans="1:12" ht="12.95" customHeight="1" x14ac:dyDescent="0.25">
      <c r="A188" s="173" t="s">
        <v>1111</v>
      </c>
      <c r="B188" s="173" t="s">
        <v>659</v>
      </c>
      <c r="C188" s="502" t="s">
        <v>660</v>
      </c>
      <c r="D188" s="503"/>
      <c r="E188" s="174" t="s">
        <v>58</v>
      </c>
      <c r="F188" s="174" t="s">
        <v>58</v>
      </c>
      <c r="G188" s="172">
        <v>43248</v>
      </c>
      <c r="H188" s="79"/>
      <c r="I188" s="79"/>
      <c r="J188" s="80"/>
      <c r="K188" s="80"/>
      <c r="L188" s="79"/>
    </row>
    <row r="189" spans="1:12" ht="12.95" customHeight="1" x14ac:dyDescent="0.25">
      <c r="A189" s="173" t="s">
        <v>1112</v>
      </c>
      <c r="B189" s="173" t="s">
        <v>661</v>
      </c>
      <c r="C189" s="173" t="s">
        <v>662</v>
      </c>
      <c r="D189" s="174"/>
      <c r="E189" s="174" t="s">
        <v>148</v>
      </c>
      <c r="F189" s="174" t="s">
        <v>55</v>
      </c>
      <c r="G189" s="172">
        <v>43258</v>
      </c>
      <c r="H189" s="79"/>
      <c r="I189" s="79"/>
      <c r="J189" s="80"/>
      <c r="K189" s="80"/>
      <c r="L189" s="79"/>
    </row>
    <row r="190" spans="1:12" ht="12.95" customHeight="1" x14ac:dyDescent="0.25">
      <c r="A190" s="173" t="s">
        <v>1113</v>
      </c>
      <c r="B190" s="173" t="s">
        <v>663</v>
      </c>
      <c r="C190" s="173" t="s">
        <v>664</v>
      </c>
      <c r="D190" s="174"/>
      <c r="E190" s="174" t="s">
        <v>148</v>
      </c>
      <c r="F190" s="174" t="s">
        <v>50</v>
      </c>
      <c r="G190" s="172">
        <v>43425</v>
      </c>
      <c r="H190" s="79"/>
      <c r="I190" s="79"/>
      <c r="J190" s="79"/>
      <c r="K190" s="79"/>
      <c r="L190" s="79"/>
    </row>
    <row r="191" spans="1:12" ht="12.95" customHeight="1" x14ac:dyDescent="0.25">
      <c r="A191" s="173" t="s">
        <v>1114</v>
      </c>
      <c r="B191" s="173" t="s">
        <v>694</v>
      </c>
      <c r="C191" s="173" t="s">
        <v>695</v>
      </c>
      <c r="D191" s="174"/>
      <c r="E191" s="174" t="s">
        <v>58</v>
      </c>
      <c r="F191" s="174" t="s">
        <v>58</v>
      </c>
      <c r="G191" s="175">
        <v>43641</v>
      </c>
      <c r="H191" s="79"/>
      <c r="I191" s="79"/>
      <c r="J191" s="79"/>
      <c r="K191" s="79"/>
      <c r="L191" s="79"/>
    </row>
    <row r="192" spans="1:12" ht="12.95" customHeight="1" x14ac:dyDescent="0.25">
      <c r="A192" s="173" t="s">
        <v>1115</v>
      </c>
      <c r="B192" s="173" t="s">
        <v>720</v>
      </c>
      <c r="C192" s="173" t="s">
        <v>721</v>
      </c>
      <c r="D192" s="174"/>
      <c r="E192" s="174" t="s">
        <v>148</v>
      </c>
      <c r="F192" s="174" t="s">
        <v>55</v>
      </c>
      <c r="G192" s="172">
        <v>43791</v>
      </c>
      <c r="H192" s="79"/>
      <c r="I192" s="79"/>
      <c r="J192" s="79"/>
      <c r="K192" s="79"/>
      <c r="L192" s="79"/>
    </row>
    <row r="193" spans="1:12" ht="12.95" customHeight="1" x14ac:dyDescent="0.25">
      <c r="A193" s="173" t="s">
        <v>1116</v>
      </c>
      <c r="B193" s="173" t="s">
        <v>722</v>
      </c>
      <c r="C193" s="173" t="s">
        <v>723</v>
      </c>
      <c r="D193" s="174"/>
      <c r="E193" s="174" t="s">
        <v>148</v>
      </c>
      <c r="F193" s="174" t="s">
        <v>44</v>
      </c>
      <c r="G193" s="172">
        <v>43756</v>
      </c>
      <c r="H193" s="79"/>
      <c r="I193" s="79"/>
      <c r="J193" s="79"/>
      <c r="K193" s="79"/>
      <c r="L193" s="79"/>
    </row>
    <row r="194" spans="1:12" ht="12.95" customHeight="1" x14ac:dyDescent="0.25">
      <c r="A194" s="173" t="s">
        <v>1117</v>
      </c>
      <c r="B194" s="173" t="s">
        <v>806</v>
      </c>
      <c r="C194" s="502" t="s">
        <v>807</v>
      </c>
      <c r="D194" s="503"/>
      <c r="E194" s="174" t="s">
        <v>148</v>
      </c>
      <c r="F194" s="174" t="s">
        <v>52</v>
      </c>
      <c r="G194" s="172">
        <v>44434</v>
      </c>
      <c r="H194" s="79"/>
      <c r="I194" s="79"/>
      <c r="J194" s="79"/>
      <c r="K194" s="79"/>
      <c r="L194" s="79"/>
    </row>
    <row r="195" spans="1:12" ht="12.95" customHeight="1" x14ac:dyDescent="0.25">
      <c r="A195" s="173" t="s">
        <v>1118</v>
      </c>
      <c r="B195" s="173" t="s">
        <v>724</v>
      </c>
      <c r="C195" s="173" t="s">
        <v>725</v>
      </c>
      <c r="D195" s="174"/>
      <c r="E195" s="174" t="s">
        <v>148</v>
      </c>
      <c r="F195" s="174" t="s">
        <v>44</v>
      </c>
      <c r="G195" s="172">
        <v>43749</v>
      </c>
      <c r="H195" s="79"/>
      <c r="I195" s="79"/>
      <c r="J195" s="79"/>
      <c r="K195" s="79"/>
      <c r="L195" s="79"/>
    </row>
    <row r="196" spans="1:12" ht="12.95" customHeight="1" x14ac:dyDescent="0.25">
      <c r="A196" s="173" t="s">
        <v>1119</v>
      </c>
      <c r="B196" s="173" t="s">
        <v>851</v>
      </c>
      <c r="C196" s="173" t="s">
        <v>726</v>
      </c>
      <c r="D196" s="174"/>
      <c r="E196" s="174" t="s">
        <v>58</v>
      </c>
      <c r="F196" s="174" t="s">
        <v>58</v>
      </c>
      <c r="G196" s="172">
        <v>43756</v>
      </c>
      <c r="H196" s="79"/>
      <c r="I196" s="79"/>
      <c r="J196" s="79"/>
      <c r="K196" s="79"/>
      <c r="L196" s="79"/>
    </row>
    <row r="197" spans="1:12" ht="12.95" customHeight="1" x14ac:dyDescent="0.25">
      <c r="A197" s="173" t="s">
        <v>1120</v>
      </c>
      <c r="B197" s="173" t="s">
        <v>727</v>
      </c>
      <c r="C197" s="173" t="s">
        <v>728</v>
      </c>
      <c r="D197" s="174"/>
      <c r="E197" s="174" t="s">
        <v>435</v>
      </c>
      <c r="F197" s="174" t="s">
        <v>435</v>
      </c>
      <c r="G197" s="172">
        <v>43802</v>
      </c>
      <c r="H197" s="79"/>
      <c r="I197" s="79"/>
      <c r="J197" s="79"/>
      <c r="K197" s="79"/>
      <c r="L197" s="79"/>
    </row>
    <row r="198" spans="1:12" ht="12.95" customHeight="1" x14ac:dyDescent="0.25">
      <c r="A198" s="173" t="s">
        <v>1121</v>
      </c>
      <c r="B198" s="173" t="s">
        <v>970</v>
      </c>
      <c r="C198" s="173" t="s">
        <v>971</v>
      </c>
      <c r="D198" s="174"/>
      <c r="E198" s="174" t="s">
        <v>148</v>
      </c>
      <c r="F198" s="174" t="s">
        <v>49</v>
      </c>
      <c r="G198" s="172">
        <v>45198</v>
      </c>
      <c r="H198" s="79"/>
      <c r="I198" s="79"/>
      <c r="J198" s="79"/>
      <c r="K198" s="79"/>
      <c r="L198" s="79"/>
    </row>
    <row r="199" spans="1:12" ht="12.95" customHeight="1" x14ac:dyDescent="0.25">
      <c r="A199" s="173" t="s">
        <v>1122</v>
      </c>
      <c r="B199" s="173" t="s">
        <v>758</v>
      </c>
      <c r="C199" s="173" t="s">
        <v>759</v>
      </c>
      <c r="D199" s="174"/>
      <c r="E199" s="174" t="s">
        <v>148</v>
      </c>
      <c r="F199" s="174" t="s">
        <v>43</v>
      </c>
      <c r="G199" s="172">
        <v>44162</v>
      </c>
      <c r="H199" s="79"/>
      <c r="I199" s="79"/>
      <c r="J199" s="79"/>
      <c r="K199" s="79"/>
      <c r="L199" s="79"/>
    </row>
    <row r="200" spans="1:12" ht="12.95" customHeight="1" x14ac:dyDescent="0.25">
      <c r="A200" s="173" t="s">
        <v>1123</v>
      </c>
      <c r="B200" s="173" t="s">
        <v>852</v>
      </c>
      <c r="C200" s="173" t="s">
        <v>760</v>
      </c>
      <c r="D200" s="174"/>
      <c r="E200" s="174" t="s">
        <v>148</v>
      </c>
      <c r="F200" s="174" t="s">
        <v>43</v>
      </c>
      <c r="G200" s="172">
        <v>44154</v>
      </c>
      <c r="H200" s="79"/>
      <c r="I200" s="79"/>
      <c r="J200" s="79"/>
      <c r="K200" s="79"/>
      <c r="L200" s="79"/>
    </row>
    <row r="201" spans="1:12" ht="12.95" customHeight="1" x14ac:dyDescent="0.25">
      <c r="A201" s="173" t="s">
        <v>1124</v>
      </c>
      <c r="B201" s="173" t="s">
        <v>761</v>
      </c>
      <c r="C201" s="173" t="s">
        <v>762</v>
      </c>
      <c r="D201" s="174"/>
      <c r="E201" s="174" t="s">
        <v>148</v>
      </c>
      <c r="F201" s="174" t="s">
        <v>56</v>
      </c>
      <c r="G201" s="172">
        <v>43992</v>
      </c>
      <c r="H201" s="79"/>
      <c r="I201" s="79"/>
      <c r="J201" s="79"/>
      <c r="K201" s="79"/>
      <c r="L201" s="79"/>
    </row>
    <row r="202" spans="1:12" ht="12.95" customHeight="1" x14ac:dyDescent="0.25">
      <c r="A202" s="173" t="s">
        <v>1125</v>
      </c>
      <c r="B202" s="173" t="s">
        <v>763</v>
      </c>
      <c r="C202" s="173" t="s">
        <v>764</v>
      </c>
      <c r="D202" s="174"/>
      <c r="E202" s="174" t="s">
        <v>148</v>
      </c>
      <c r="F202" s="174" t="s">
        <v>44</v>
      </c>
      <c r="G202" s="172">
        <v>44036</v>
      </c>
      <c r="H202" s="79"/>
      <c r="I202" s="79"/>
      <c r="J202" s="79"/>
      <c r="K202" s="79"/>
      <c r="L202" s="79"/>
    </row>
    <row r="203" spans="1:12" ht="12.95" customHeight="1" x14ac:dyDescent="0.25">
      <c r="A203" s="173" t="s">
        <v>1126</v>
      </c>
      <c r="B203" s="173" t="s">
        <v>765</v>
      </c>
      <c r="C203" s="173" t="s">
        <v>766</v>
      </c>
      <c r="D203" s="174"/>
      <c r="E203" s="174" t="s">
        <v>148</v>
      </c>
      <c r="F203" s="174" t="s">
        <v>52</v>
      </c>
      <c r="G203" s="172">
        <v>44085</v>
      </c>
      <c r="H203" s="79"/>
      <c r="I203" s="79"/>
      <c r="J203" s="79"/>
      <c r="K203" s="79"/>
      <c r="L203" s="79"/>
    </row>
    <row r="204" spans="1:12" ht="12.95" customHeight="1" x14ac:dyDescent="0.25">
      <c r="A204" s="173" t="s">
        <v>1127</v>
      </c>
      <c r="B204" s="173" t="s">
        <v>767</v>
      </c>
      <c r="C204" s="173" t="s">
        <v>768</v>
      </c>
      <c r="D204" s="174"/>
      <c r="E204" s="174" t="s">
        <v>148</v>
      </c>
      <c r="F204" s="174" t="s">
        <v>52</v>
      </c>
      <c r="G204" s="172">
        <v>44218</v>
      </c>
      <c r="H204" s="79"/>
      <c r="I204" s="79"/>
      <c r="J204" s="79"/>
      <c r="K204" s="79"/>
      <c r="L204" s="79"/>
    </row>
    <row r="205" spans="1:12" ht="12.95" customHeight="1" x14ac:dyDescent="0.25">
      <c r="A205" s="173" t="s">
        <v>1128</v>
      </c>
      <c r="B205" s="173" t="s">
        <v>808</v>
      </c>
      <c r="C205" s="173" t="s">
        <v>809</v>
      </c>
      <c r="D205" s="174"/>
      <c r="E205" s="174" t="s">
        <v>148</v>
      </c>
      <c r="F205" s="174" t="s">
        <v>44</v>
      </c>
      <c r="G205" s="172">
        <v>44333</v>
      </c>
      <c r="H205" s="79"/>
      <c r="I205" s="79"/>
      <c r="J205" s="79"/>
      <c r="K205" s="79"/>
      <c r="L205" s="79"/>
    </row>
    <row r="206" spans="1:12" ht="12.95" customHeight="1" x14ac:dyDescent="0.25">
      <c r="A206" s="173" t="s">
        <v>1129</v>
      </c>
      <c r="B206" s="173" t="s">
        <v>769</v>
      </c>
      <c r="C206" s="173" t="s">
        <v>770</v>
      </c>
      <c r="D206" s="174"/>
      <c r="E206" s="174" t="s">
        <v>58</v>
      </c>
      <c r="F206" s="174" t="s">
        <v>58</v>
      </c>
      <c r="G206" s="172">
        <v>44089</v>
      </c>
      <c r="H206" s="79"/>
      <c r="I206" s="79"/>
      <c r="J206" s="79"/>
      <c r="K206" s="79"/>
      <c r="L206" s="79"/>
    </row>
    <row r="207" spans="1:12" ht="12.95" customHeight="1" x14ac:dyDescent="0.25">
      <c r="A207" s="173" t="s">
        <v>1130</v>
      </c>
      <c r="B207" s="173" t="s">
        <v>810</v>
      </c>
      <c r="C207" s="173" t="s">
        <v>811</v>
      </c>
      <c r="D207" s="174"/>
      <c r="E207" s="174" t="s">
        <v>148</v>
      </c>
      <c r="F207" s="174" t="s">
        <v>57</v>
      </c>
      <c r="G207" s="172">
        <v>44617</v>
      </c>
      <c r="H207" s="79"/>
      <c r="I207" s="79"/>
      <c r="J207" s="79"/>
      <c r="K207" s="79"/>
      <c r="L207" s="79"/>
    </row>
    <row r="208" spans="1:12" ht="12.95" customHeight="1" x14ac:dyDescent="0.25">
      <c r="A208" s="173" t="s">
        <v>1131</v>
      </c>
      <c r="B208" s="173" t="s">
        <v>771</v>
      </c>
      <c r="C208" s="173" t="s">
        <v>772</v>
      </c>
      <c r="D208" s="174"/>
      <c r="E208" s="174" t="s">
        <v>148</v>
      </c>
      <c r="F208" s="174" t="s">
        <v>44</v>
      </c>
      <c r="G208" s="172">
        <v>44092</v>
      </c>
      <c r="H208" s="79"/>
      <c r="I208" s="79"/>
      <c r="J208" s="79"/>
      <c r="K208" s="79"/>
      <c r="L208" s="79"/>
    </row>
    <row r="209" spans="1:12" ht="12.95" customHeight="1" x14ac:dyDescent="0.25">
      <c r="A209" s="173" t="s">
        <v>1132</v>
      </c>
      <c r="B209" s="173" t="s">
        <v>853</v>
      </c>
      <c r="C209" s="173" t="s">
        <v>773</v>
      </c>
      <c r="D209" s="174"/>
      <c r="E209" s="174" t="s">
        <v>148</v>
      </c>
      <c r="F209" s="174" t="s">
        <v>45</v>
      </c>
      <c r="G209" s="172">
        <v>44180</v>
      </c>
      <c r="H209" s="79"/>
      <c r="I209" s="79"/>
      <c r="J209" s="79"/>
      <c r="K209" s="79"/>
      <c r="L209" s="79"/>
    </row>
    <row r="210" spans="1:12" ht="12.95" customHeight="1" x14ac:dyDescent="0.25">
      <c r="A210" s="173" t="s">
        <v>1133</v>
      </c>
      <c r="B210" s="173" t="s">
        <v>853</v>
      </c>
      <c r="C210" s="173" t="s">
        <v>776</v>
      </c>
      <c r="D210" s="174"/>
      <c r="E210" s="174" t="s">
        <v>148</v>
      </c>
      <c r="F210" s="174" t="s">
        <v>45</v>
      </c>
      <c r="G210" s="172">
        <v>44320</v>
      </c>
      <c r="H210" s="79"/>
      <c r="I210" s="79"/>
      <c r="J210" s="79"/>
      <c r="K210" s="79"/>
      <c r="L210" s="79"/>
    </row>
    <row r="211" spans="1:12" ht="12.95" customHeight="1" x14ac:dyDescent="0.25">
      <c r="A211" s="173" t="s">
        <v>1134</v>
      </c>
      <c r="B211" s="173" t="s">
        <v>812</v>
      </c>
      <c r="C211" s="173" t="s">
        <v>813</v>
      </c>
      <c r="D211" s="174"/>
      <c r="E211" s="174" t="s">
        <v>148</v>
      </c>
      <c r="F211" s="174" t="s">
        <v>52</v>
      </c>
      <c r="G211" s="172">
        <v>44371</v>
      </c>
      <c r="H211" s="79"/>
      <c r="I211" s="79"/>
      <c r="J211" s="79"/>
      <c r="K211" s="79"/>
      <c r="L211" s="79"/>
    </row>
    <row r="212" spans="1:12" ht="12.95" customHeight="1" x14ac:dyDescent="0.25">
      <c r="A212" s="173" t="s">
        <v>1135</v>
      </c>
      <c r="B212" s="173" t="s">
        <v>774</v>
      </c>
      <c r="C212" s="173" t="s">
        <v>775</v>
      </c>
      <c r="D212" s="174"/>
      <c r="E212" s="174" t="s">
        <v>148</v>
      </c>
      <c r="F212" s="174" t="s">
        <v>54</v>
      </c>
      <c r="G212" s="172">
        <v>44174</v>
      </c>
      <c r="H212" s="79"/>
      <c r="I212" s="79"/>
      <c r="J212" s="79"/>
      <c r="K212" s="79"/>
      <c r="L212" s="79"/>
    </row>
    <row r="213" spans="1:12" ht="12.95" customHeight="1" x14ac:dyDescent="0.25">
      <c r="A213" s="173" t="s">
        <v>1136</v>
      </c>
      <c r="B213" s="173" t="s">
        <v>777</v>
      </c>
      <c r="C213" s="173" t="s">
        <v>778</v>
      </c>
      <c r="D213" s="174"/>
      <c r="E213" s="174" t="s">
        <v>148</v>
      </c>
      <c r="F213" s="174" t="s">
        <v>49</v>
      </c>
      <c r="G213" s="172">
        <v>44215</v>
      </c>
      <c r="H213" s="79"/>
      <c r="I213" s="79"/>
      <c r="J213" s="79"/>
      <c r="K213" s="79"/>
      <c r="L213" s="79"/>
    </row>
    <row r="214" spans="1:12" ht="12.95" customHeight="1" x14ac:dyDescent="0.25">
      <c r="A214" s="173" t="s">
        <v>1137</v>
      </c>
      <c r="B214" s="173" t="s">
        <v>779</v>
      </c>
      <c r="C214" s="173" t="s">
        <v>780</v>
      </c>
      <c r="D214" s="174"/>
      <c r="E214" s="174" t="s">
        <v>148</v>
      </c>
      <c r="F214" s="174" t="s">
        <v>52</v>
      </c>
      <c r="G214" s="172">
        <v>44153</v>
      </c>
      <c r="H214" s="79"/>
      <c r="I214" s="79"/>
      <c r="J214" s="79"/>
      <c r="K214" s="79"/>
      <c r="L214" s="79"/>
    </row>
    <row r="215" spans="1:12" ht="12.95" customHeight="1" x14ac:dyDescent="0.25">
      <c r="A215" s="173" t="s">
        <v>1138</v>
      </c>
      <c r="B215" s="173" t="s">
        <v>814</v>
      </c>
      <c r="C215" s="173" t="s">
        <v>815</v>
      </c>
      <c r="D215" s="174"/>
      <c r="E215" s="174" t="s">
        <v>58</v>
      </c>
      <c r="F215" s="174" t="s">
        <v>58</v>
      </c>
      <c r="G215" s="172">
        <v>44449</v>
      </c>
      <c r="H215" s="79"/>
      <c r="I215" s="79"/>
      <c r="J215" s="79"/>
      <c r="K215" s="79"/>
      <c r="L215" s="79"/>
    </row>
    <row r="216" spans="1:12" ht="12.95" customHeight="1" x14ac:dyDescent="0.25">
      <c r="A216" s="173" t="s">
        <v>1139</v>
      </c>
      <c r="B216" s="173" t="s">
        <v>781</v>
      </c>
      <c r="C216" s="173" t="s">
        <v>782</v>
      </c>
      <c r="D216" s="174"/>
      <c r="E216" s="174" t="s">
        <v>148</v>
      </c>
      <c r="F216" s="174" t="s">
        <v>44</v>
      </c>
      <c r="G216" s="172">
        <v>44279</v>
      </c>
      <c r="H216" s="79"/>
      <c r="I216" s="79"/>
      <c r="J216" s="79"/>
      <c r="K216" s="79"/>
      <c r="L216" s="79"/>
    </row>
    <row r="217" spans="1:12" ht="12.95" customHeight="1" x14ac:dyDescent="0.25">
      <c r="A217" s="173" t="s">
        <v>1140</v>
      </c>
      <c r="B217" s="173" t="s">
        <v>783</v>
      </c>
      <c r="C217" s="173" t="s">
        <v>784</v>
      </c>
      <c r="D217" s="174"/>
      <c r="E217" s="174" t="s">
        <v>148</v>
      </c>
      <c r="F217" s="174" t="s">
        <v>55</v>
      </c>
      <c r="G217" s="172">
        <v>44267</v>
      </c>
      <c r="H217" s="79"/>
      <c r="I217" s="79"/>
      <c r="J217" s="79"/>
      <c r="K217" s="79"/>
      <c r="L217" s="79"/>
    </row>
    <row r="218" spans="1:12" ht="12.95" customHeight="1" x14ac:dyDescent="0.25">
      <c r="A218" s="173" t="s">
        <v>1141</v>
      </c>
      <c r="B218" s="173" t="s">
        <v>816</v>
      </c>
      <c r="C218" s="173" t="s">
        <v>817</v>
      </c>
      <c r="D218" s="174"/>
      <c r="E218" s="174" t="s">
        <v>148</v>
      </c>
      <c r="F218" s="174" t="s">
        <v>52</v>
      </c>
      <c r="G218" s="172">
        <v>44537</v>
      </c>
      <c r="H218" s="79"/>
      <c r="I218" s="79"/>
      <c r="J218" s="79"/>
      <c r="K218" s="79"/>
      <c r="L218" s="79"/>
    </row>
    <row r="219" spans="1:12" ht="12.95" customHeight="1" x14ac:dyDescent="0.25">
      <c r="A219" s="173" t="s">
        <v>1142</v>
      </c>
      <c r="B219" s="173" t="s">
        <v>818</v>
      </c>
      <c r="C219" s="173" t="s">
        <v>819</v>
      </c>
      <c r="D219" s="174"/>
      <c r="E219" s="174" t="s">
        <v>148</v>
      </c>
      <c r="F219" s="174" t="s">
        <v>49</v>
      </c>
      <c r="G219" s="172">
        <v>44446</v>
      </c>
      <c r="H219" s="79"/>
      <c r="I219" s="79"/>
      <c r="J219" s="79"/>
      <c r="K219" s="79"/>
      <c r="L219" s="79"/>
    </row>
    <row r="220" spans="1:12" ht="12.95" customHeight="1" x14ac:dyDescent="0.25">
      <c r="A220" s="173" t="s">
        <v>1143</v>
      </c>
      <c r="B220" s="173" t="s">
        <v>820</v>
      </c>
      <c r="C220" s="173" t="s">
        <v>821</v>
      </c>
      <c r="D220" s="174"/>
      <c r="E220" s="174" t="s">
        <v>148</v>
      </c>
      <c r="F220" s="174" t="s">
        <v>52</v>
      </c>
      <c r="G220" s="172">
        <v>44509</v>
      </c>
      <c r="H220" s="79"/>
      <c r="I220" s="79"/>
      <c r="J220" s="79"/>
      <c r="K220" s="79"/>
      <c r="L220" s="79"/>
    </row>
    <row r="221" spans="1:12" ht="12.95" customHeight="1" x14ac:dyDescent="0.25">
      <c r="A221" s="173" t="s">
        <v>1144</v>
      </c>
      <c r="B221" s="173" t="s">
        <v>854</v>
      </c>
      <c r="C221" s="173" t="s">
        <v>855</v>
      </c>
      <c r="D221" s="174"/>
      <c r="E221" s="174" t="s">
        <v>58</v>
      </c>
      <c r="F221" s="174" t="s">
        <v>58</v>
      </c>
      <c r="G221" s="172">
        <v>45133</v>
      </c>
      <c r="H221" s="79"/>
      <c r="I221" s="79"/>
      <c r="J221" s="79"/>
      <c r="K221" s="79"/>
      <c r="L221" s="79"/>
    </row>
    <row r="222" spans="1:12" ht="12.95" customHeight="1" x14ac:dyDescent="0.25">
      <c r="A222" s="173" t="s">
        <v>1145</v>
      </c>
      <c r="B222" s="173" t="s">
        <v>856</v>
      </c>
      <c r="C222" s="173" t="s">
        <v>822</v>
      </c>
      <c r="D222" s="174"/>
      <c r="E222" s="174" t="s">
        <v>148</v>
      </c>
      <c r="F222" s="174" t="s">
        <v>52</v>
      </c>
      <c r="G222" s="172">
        <v>44575</v>
      </c>
      <c r="H222" s="79"/>
      <c r="I222" s="79"/>
      <c r="J222" s="79"/>
      <c r="K222" s="79"/>
      <c r="L222" s="79"/>
    </row>
    <row r="223" spans="1:12" ht="12.95" customHeight="1" x14ac:dyDescent="0.25">
      <c r="A223" s="173" t="s">
        <v>1146</v>
      </c>
      <c r="B223" s="173" t="s">
        <v>823</v>
      </c>
      <c r="C223" s="173" t="s">
        <v>824</v>
      </c>
      <c r="D223" s="174"/>
      <c r="E223" s="174" t="s">
        <v>148</v>
      </c>
      <c r="F223" s="174" t="s">
        <v>52</v>
      </c>
      <c r="G223" s="172">
        <v>44531</v>
      </c>
      <c r="H223" s="79"/>
      <c r="I223" s="79"/>
      <c r="J223" s="79"/>
      <c r="K223" s="79"/>
      <c r="L223" s="79"/>
    </row>
    <row r="224" spans="1:12" ht="12.95" customHeight="1" x14ac:dyDescent="0.25">
      <c r="A224" s="173" t="s">
        <v>1147</v>
      </c>
      <c r="B224" s="173" t="s">
        <v>857</v>
      </c>
      <c r="C224" s="173" t="s">
        <v>858</v>
      </c>
      <c r="D224" s="174"/>
      <c r="E224" s="174" t="s">
        <v>58</v>
      </c>
      <c r="F224" s="174" t="s">
        <v>58</v>
      </c>
      <c r="G224" s="172">
        <v>44859</v>
      </c>
      <c r="H224" s="79"/>
      <c r="I224" s="79"/>
      <c r="J224" s="79"/>
      <c r="K224" s="79"/>
      <c r="L224" s="79"/>
    </row>
    <row r="225" spans="1:12" ht="12.95" customHeight="1" x14ac:dyDescent="0.25">
      <c r="A225" s="173" t="s">
        <v>1148</v>
      </c>
      <c r="B225" s="173" t="s">
        <v>825</v>
      </c>
      <c r="C225" s="173" t="s">
        <v>826</v>
      </c>
      <c r="D225" s="174"/>
      <c r="E225" s="174" t="s">
        <v>58</v>
      </c>
      <c r="F225" s="174" t="s">
        <v>58</v>
      </c>
      <c r="G225" s="172">
        <v>44715</v>
      </c>
      <c r="H225" s="79"/>
      <c r="I225" s="79"/>
      <c r="J225" s="79"/>
      <c r="K225" s="79"/>
      <c r="L225" s="79"/>
    </row>
    <row r="226" spans="1:12" ht="12.95" customHeight="1" x14ac:dyDescent="0.25">
      <c r="A226" s="173" t="s">
        <v>1149</v>
      </c>
      <c r="B226" s="173" t="s">
        <v>859</v>
      </c>
      <c r="C226" s="173" t="s">
        <v>972</v>
      </c>
      <c r="D226" s="174"/>
      <c r="E226" s="174" t="s">
        <v>148</v>
      </c>
      <c r="F226" s="174" t="s">
        <v>43</v>
      </c>
      <c r="G226" s="172">
        <v>44743</v>
      </c>
      <c r="H226" s="79"/>
      <c r="I226" s="79"/>
      <c r="J226" s="79"/>
      <c r="K226" s="79"/>
      <c r="L226" s="79"/>
    </row>
    <row r="227" spans="1:12" ht="12.95" customHeight="1" x14ac:dyDescent="0.25">
      <c r="A227" s="173" t="s">
        <v>1150</v>
      </c>
      <c r="B227" s="173" t="s">
        <v>860</v>
      </c>
      <c r="C227" s="173" t="s">
        <v>827</v>
      </c>
      <c r="D227" s="174"/>
      <c r="E227" s="174" t="s">
        <v>148</v>
      </c>
      <c r="F227" s="174" t="s">
        <v>52</v>
      </c>
      <c r="G227" s="172">
        <v>44664</v>
      </c>
      <c r="H227" s="79"/>
      <c r="I227" s="79"/>
      <c r="J227" s="79"/>
      <c r="K227" s="79"/>
      <c r="L227" s="79"/>
    </row>
    <row r="228" spans="1:12" ht="12.95" customHeight="1" x14ac:dyDescent="0.25">
      <c r="A228" s="173" t="s">
        <v>1151</v>
      </c>
      <c r="B228" s="173" t="s">
        <v>861</v>
      </c>
      <c r="C228" s="173" t="s">
        <v>862</v>
      </c>
      <c r="D228" s="174"/>
      <c r="E228" s="174" t="s">
        <v>148</v>
      </c>
      <c r="F228" s="174" t="s">
        <v>43</v>
      </c>
      <c r="G228" s="172">
        <v>44762</v>
      </c>
      <c r="H228" s="79"/>
      <c r="I228" s="79"/>
      <c r="J228" s="79"/>
      <c r="K228" s="79"/>
      <c r="L228" s="79"/>
    </row>
    <row r="229" spans="1:12" ht="12.95" customHeight="1" x14ac:dyDescent="0.25">
      <c r="A229" s="173" t="s">
        <v>1152</v>
      </c>
      <c r="B229" s="173" t="s">
        <v>863</v>
      </c>
      <c r="C229" s="173" t="s">
        <v>864</v>
      </c>
      <c r="D229" s="174"/>
      <c r="E229" s="174" t="s">
        <v>58</v>
      </c>
      <c r="F229" s="174" t="s">
        <v>58</v>
      </c>
      <c r="G229" s="172">
        <v>44876</v>
      </c>
      <c r="H229" s="79"/>
      <c r="I229" s="79"/>
      <c r="J229" s="79"/>
      <c r="K229" s="79"/>
      <c r="L229" s="79"/>
    </row>
    <row r="230" spans="1:12" ht="12.95" customHeight="1" x14ac:dyDescent="0.25">
      <c r="A230" s="173" t="s">
        <v>1153</v>
      </c>
      <c r="B230" s="173" t="s">
        <v>865</v>
      </c>
      <c r="C230" s="173" t="s">
        <v>866</v>
      </c>
      <c r="D230" s="174"/>
      <c r="E230" s="174" t="s">
        <v>148</v>
      </c>
      <c r="F230" s="174" t="s">
        <v>49</v>
      </c>
      <c r="G230" s="172">
        <v>44890</v>
      </c>
      <c r="H230" s="79"/>
      <c r="I230" s="79"/>
      <c r="J230" s="79"/>
      <c r="K230" s="79"/>
      <c r="L230" s="79"/>
    </row>
    <row r="231" spans="1:12" ht="12.95" customHeight="1" x14ac:dyDescent="0.25">
      <c r="A231" s="173" t="s">
        <v>1154</v>
      </c>
      <c r="B231" s="173" t="s">
        <v>867</v>
      </c>
      <c r="C231" s="173" t="s">
        <v>868</v>
      </c>
      <c r="D231" s="174"/>
      <c r="E231" s="174" t="s">
        <v>148</v>
      </c>
      <c r="F231" s="174" t="s">
        <v>19</v>
      </c>
      <c r="G231" s="172">
        <v>45093</v>
      </c>
      <c r="H231" s="79"/>
      <c r="I231" s="79"/>
      <c r="J231" s="79"/>
      <c r="K231" s="79"/>
      <c r="L231" s="79"/>
    </row>
    <row r="232" spans="1:12" ht="12.95" customHeight="1" x14ac:dyDescent="0.25">
      <c r="A232" s="173" t="s">
        <v>1155</v>
      </c>
      <c r="B232" s="173" t="s">
        <v>869</v>
      </c>
      <c r="C232" s="173" t="s">
        <v>870</v>
      </c>
      <c r="D232" s="174"/>
      <c r="E232" s="174" t="s">
        <v>148</v>
      </c>
      <c r="F232" s="174" t="s">
        <v>19</v>
      </c>
      <c r="G232" s="172">
        <v>44911</v>
      </c>
      <c r="H232" s="79"/>
      <c r="I232" s="79"/>
      <c r="J232" s="79"/>
      <c r="K232" s="79"/>
      <c r="L232" s="79"/>
    </row>
    <row r="233" spans="1:12" ht="12.95" customHeight="1" x14ac:dyDescent="0.25">
      <c r="A233" s="173" t="s">
        <v>1156</v>
      </c>
      <c r="B233" s="173" t="s">
        <v>871</v>
      </c>
      <c r="C233" s="173" t="s">
        <v>872</v>
      </c>
      <c r="D233" s="174"/>
      <c r="E233" s="174" t="s">
        <v>148</v>
      </c>
      <c r="F233" s="174" t="s">
        <v>44</v>
      </c>
      <c r="G233" s="172">
        <v>45009</v>
      </c>
      <c r="H233" s="79"/>
      <c r="I233" s="79"/>
      <c r="J233" s="79"/>
      <c r="K233" s="79"/>
      <c r="L233" s="79"/>
    </row>
    <row r="234" spans="1:12" ht="12.95" customHeight="1" x14ac:dyDescent="0.25">
      <c r="A234" s="173" t="s">
        <v>1157</v>
      </c>
      <c r="B234" s="173" t="s">
        <v>973</v>
      </c>
      <c r="C234" s="173" t="s">
        <v>974</v>
      </c>
      <c r="D234" s="174"/>
      <c r="E234" s="174" t="s">
        <v>148</v>
      </c>
      <c r="F234" s="174" t="s">
        <v>43</v>
      </c>
      <c r="G234" s="172">
        <v>45126</v>
      </c>
      <c r="H234" s="79"/>
      <c r="I234" s="79"/>
      <c r="J234" s="79"/>
      <c r="K234" s="79"/>
      <c r="L234" s="79"/>
    </row>
    <row r="235" spans="1:12" ht="12.95" customHeight="1" x14ac:dyDescent="0.25">
      <c r="A235" s="173" t="s">
        <v>1158</v>
      </c>
      <c r="B235" s="173" t="s">
        <v>873</v>
      </c>
      <c r="C235" s="173" t="s">
        <v>874</v>
      </c>
      <c r="D235" s="174"/>
      <c r="E235" s="174" t="s">
        <v>148</v>
      </c>
      <c r="F235" s="174" t="s">
        <v>52</v>
      </c>
      <c r="G235" s="172">
        <v>45098</v>
      </c>
      <c r="H235" s="79"/>
      <c r="I235" s="79"/>
      <c r="J235" s="79"/>
      <c r="K235" s="79"/>
      <c r="L235" s="79"/>
    </row>
    <row r="236" spans="1:12" ht="12.95" customHeight="1" x14ac:dyDescent="0.25">
      <c r="A236" s="173" t="s">
        <v>1159</v>
      </c>
      <c r="B236" s="173" t="s">
        <v>975</v>
      </c>
      <c r="C236" s="173" t="s">
        <v>976</v>
      </c>
      <c r="D236" s="174"/>
      <c r="E236" s="174" t="s">
        <v>148</v>
      </c>
      <c r="F236" s="174" t="s">
        <v>55</v>
      </c>
      <c r="G236" s="172">
        <v>45331</v>
      </c>
      <c r="H236" s="79"/>
      <c r="I236" s="79"/>
      <c r="J236" s="79"/>
      <c r="K236" s="79"/>
      <c r="L236" s="79"/>
    </row>
    <row r="237" spans="1:12" ht="12.95" customHeight="1" x14ac:dyDescent="0.25">
      <c r="A237" s="173" t="s">
        <v>1160</v>
      </c>
      <c r="B237" s="173" t="s">
        <v>977</v>
      </c>
      <c r="C237" s="173" t="s">
        <v>978</v>
      </c>
      <c r="D237" s="174"/>
      <c r="E237" s="174" t="s">
        <v>148</v>
      </c>
      <c r="F237" s="174" t="s">
        <v>54</v>
      </c>
      <c r="G237" s="172">
        <v>45212</v>
      </c>
      <c r="H237" s="79"/>
      <c r="I237" s="79"/>
      <c r="J237" s="79"/>
      <c r="K237" s="79"/>
      <c r="L237" s="79"/>
    </row>
    <row r="238" spans="1:12" ht="12.95" customHeight="1" x14ac:dyDescent="0.25">
      <c r="A238" s="173" t="s">
        <v>1161</v>
      </c>
      <c r="B238" s="173" t="s">
        <v>979</v>
      </c>
      <c r="C238" s="173" t="s">
        <v>980</v>
      </c>
      <c r="D238" s="174"/>
      <c r="E238" s="174" t="s">
        <v>148</v>
      </c>
      <c r="F238" s="174" t="s">
        <v>49</v>
      </c>
      <c r="G238" s="172">
        <v>45245</v>
      </c>
      <c r="H238" s="79"/>
      <c r="I238" s="79"/>
      <c r="J238" s="79"/>
      <c r="K238" s="79"/>
      <c r="L238" s="79"/>
    </row>
    <row r="239" spans="1:12" ht="12.95" customHeight="1" x14ac:dyDescent="0.25">
      <c r="A239" s="173" t="s">
        <v>1162</v>
      </c>
      <c r="B239" s="173" t="s">
        <v>981</v>
      </c>
      <c r="C239" s="173" t="s">
        <v>982</v>
      </c>
      <c r="D239" s="174"/>
      <c r="E239" s="174" t="s">
        <v>148</v>
      </c>
      <c r="F239" s="174" t="s">
        <v>52</v>
      </c>
      <c r="G239" s="172">
        <v>45327</v>
      </c>
      <c r="H239" s="79"/>
      <c r="I239" s="79"/>
      <c r="J239" s="79"/>
      <c r="K239" s="79"/>
      <c r="L239" s="79"/>
    </row>
    <row r="240" spans="1:12" ht="12.95" customHeight="1" x14ac:dyDescent="0.25">
      <c r="A240" s="173" t="s">
        <v>1163</v>
      </c>
      <c r="B240" s="173" t="s">
        <v>983</v>
      </c>
      <c r="C240" s="173" t="s">
        <v>984</v>
      </c>
      <c r="D240" s="174"/>
      <c r="E240" s="174" t="s">
        <v>435</v>
      </c>
      <c r="F240" s="174" t="s">
        <v>435</v>
      </c>
      <c r="G240" s="172">
        <v>45272</v>
      </c>
      <c r="H240" s="79"/>
      <c r="I240" s="79"/>
      <c r="J240" s="79"/>
      <c r="K240" s="79"/>
      <c r="L240" s="79"/>
    </row>
    <row r="241" spans="1:12" ht="12.95" customHeight="1" x14ac:dyDescent="0.25">
      <c r="A241" s="173" t="s">
        <v>1164</v>
      </c>
      <c r="B241" s="173" t="s">
        <v>985</v>
      </c>
      <c r="C241" s="173" t="s">
        <v>986</v>
      </c>
      <c r="D241" s="174"/>
      <c r="E241" s="174" t="s">
        <v>148</v>
      </c>
      <c r="F241" s="174" t="s">
        <v>44</v>
      </c>
      <c r="G241" s="172">
        <v>45372</v>
      </c>
      <c r="H241" s="79"/>
      <c r="I241" s="79"/>
      <c r="J241" s="79"/>
      <c r="K241" s="79"/>
      <c r="L241" s="79"/>
    </row>
    <row r="242" spans="1:12" ht="12.95" customHeight="1" x14ac:dyDescent="0.25">
      <c r="A242" s="173" t="s">
        <v>1165</v>
      </c>
      <c r="B242" s="173" t="s">
        <v>987</v>
      </c>
      <c r="C242" s="173" t="s">
        <v>988</v>
      </c>
      <c r="D242" s="174"/>
      <c r="E242" s="174" t="s">
        <v>148</v>
      </c>
      <c r="F242" s="174" t="s">
        <v>44</v>
      </c>
      <c r="G242" s="172">
        <v>45407</v>
      </c>
      <c r="H242" s="79"/>
      <c r="I242" s="79"/>
      <c r="J242" s="79"/>
      <c r="K242" s="79"/>
      <c r="L242" s="79"/>
    </row>
    <row r="243" spans="1:12" ht="12.95" customHeight="1" x14ac:dyDescent="0.25">
      <c r="A243" s="173" t="s">
        <v>1166</v>
      </c>
      <c r="B243" s="173" t="s">
        <v>989</v>
      </c>
      <c r="C243" s="173" t="s">
        <v>990</v>
      </c>
      <c r="D243" s="174"/>
      <c r="E243" s="174" t="s">
        <v>148</v>
      </c>
      <c r="F243" s="174" t="s">
        <v>52</v>
      </c>
      <c r="G243" s="172">
        <v>45509</v>
      </c>
      <c r="H243" s="79"/>
      <c r="I243" s="79"/>
      <c r="J243" s="79"/>
      <c r="K243" s="79"/>
      <c r="L243" s="79"/>
    </row>
    <row r="244" spans="1:12" ht="12.95" customHeight="1" x14ac:dyDescent="0.25">
      <c r="A244" s="86" t="s">
        <v>291</v>
      </c>
      <c r="B244" s="176" t="s">
        <v>350</v>
      </c>
      <c r="C244" s="176" t="s">
        <v>350</v>
      </c>
      <c r="D244" s="177" t="s">
        <v>350</v>
      </c>
      <c r="E244" s="177" t="s">
        <v>350</v>
      </c>
      <c r="F244" s="177" t="s">
        <v>350</v>
      </c>
      <c r="G244" s="175" t="s">
        <v>350</v>
      </c>
      <c r="H244" s="43"/>
      <c r="I244" s="7"/>
      <c r="J244" s="43"/>
      <c r="K244" s="43"/>
      <c r="L244" s="7"/>
    </row>
    <row r="245" spans="1:12" ht="9.9499999999999993" customHeight="1" x14ac:dyDescent="0.25">
      <c r="A245" s="7"/>
      <c r="B245" s="7"/>
      <c r="C245" s="7"/>
      <c r="D245" s="100"/>
      <c r="E245" s="100"/>
      <c r="F245" s="7"/>
      <c r="G245" s="43"/>
      <c r="H245" s="43"/>
      <c r="I245" s="7"/>
      <c r="J245" s="43"/>
      <c r="K245" s="43"/>
      <c r="L245" s="7"/>
    </row>
    <row r="246" spans="1:12" ht="9.9499999999999993" customHeight="1" x14ac:dyDescent="0.25">
      <c r="A246" s="7"/>
      <c r="B246" s="7"/>
      <c r="C246" s="7"/>
      <c r="D246" s="100"/>
      <c r="E246" s="100"/>
      <c r="F246" s="7"/>
      <c r="G246" s="43"/>
      <c r="H246" s="43"/>
      <c r="I246" s="7"/>
      <c r="J246" s="43"/>
      <c r="K246" s="43"/>
      <c r="L246" s="7"/>
    </row>
    <row r="247" spans="1:12" ht="9.9499999999999993" customHeight="1" x14ac:dyDescent="0.25">
      <c r="A247" s="7"/>
      <c r="B247" s="7"/>
      <c r="C247" s="7"/>
      <c r="D247" s="100"/>
      <c r="E247" s="100"/>
      <c r="F247" s="7"/>
      <c r="G247" s="43"/>
      <c r="H247" s="43"/>
      <c r="I247" s="7"/>
      <c r="J247" s="43"/>
      <c r="K247" s="43"/>
      <c r="L247" s="7"/>
    </row>
    <row r="248" spans="1:12" ht="9.9499999999999993" customHeight="1" x14ac:dyDescent="0.25">
      <c r="A248" s="7"/>
      <c r="B248" s="7"/>
      <c r="C248" s="7"/>
      <c r="D248" s="100"/>
      <c r="E248" s="100"/>
      <c r="F248" s="7"/>
      <c r="G248" s="43"/>
      <c r="H248" s="43"/>
      <c r="I248" s="7"/>
      <c r="J248" s="43"/>
      <c r="K248" s="43"/>
      <c r="L248" s="7"/>
    </row>
    <row r="249" spans="1:12" ht="9.9499999999999993" customHeight="1" x14ac:dyDescent="0.25">
      <c r="A249" s="7"/>
      <c r="B249" s="7"/>
      <c r="C249" s="7"/>
      <c r="D249" s="100"/>
      <c r="E249" s="100"/>
      <c r="F249" s="7"/>
      <c r="G249" s="43"/>
      <c r="H249" s="43"/>
      <c r="I249" s="7"/>
      <c r="J249" s="43"/>
      <c r="K249" s="43"/>
      <c r="L249" s="7"/>
    </row>
    <row r="250" spans="1:12" ht="9.9499999999999993" customHeight="1" x14ac:dyDescent="0.25">
      <c r="A250" s="7"/>
      <c r="B250" s="7"/>
      <c r="C250" s="7"/>
      <c r="D250" s="100"/>
      <c r="E250" s="100"/>
      <c r="F250" s="7"/>
      <c r="G250" s="43"/>
      <c r="H250" s="43"/>
      <c r="I250" s="7"/>
      <c r="J250" s="43"/>
      <c r="K250" s="43"/>
      <c r="L250" s="7"/>
    </row>
    <row r="251" spans="1:12" ht="9.9499999999999993" customHeight="1" x14ac:dyDescent="0.25">
      <c r="A251" s="7"/>
      <c r="B251" s="7"/>
      <c r="C251" s="7"/>
      <c r="D251" s="100"/>
      <c r="E251" s="100"/>
      <c r="F251" s="7"/>
      <c r="G251" s="43"/>
      <c r="H251" s="43"/>
      <c r="I251" s="7"/>
      <c r="J251" s="43"/>
      <c r="K251" s="43"/>
      <c r="L251" s="7"/>
    </row>
    <row r="252" spans="1:12" ht="9.9499999999999993" customHeight="1" x14ac:dyDescent="0.25"/>
    <row r="253" spans="1:12" ht="9.9499999999999993" customHeight="1" x14ac:dyDescent="0.25"/>
    <row r="254" spans="1:12" ht="9.9499999999999993" customHeight="1" x14ac:dyDescent="0.25"/>
    <row r="255" spans="1:12" ht="9.9499999999999993" customHeight="1" x14ac:dyDescent="0.25"/>
    <row r="256" spans="1:12" ht="9.9499999999999993" customHeight="1" x14ac:dyDescent="0.25"/>
    <row r="257" spans="1:12" ht="9.9499999999999993" customHeight="1" x14ac:dyDescent="0.25"/>
    <row r="258" spans="1:12" ht="9.9499999999999993" customHeight="1" x14ac:dyDescent="0.25"/>
    <row r="259" spans="1:12" ht="9.9499999999999993" customHeight="1" x14ac:dyDescent="0.25"/>
    <row r="260" spans="1:12" ht="9.9499999999999993" customHeight="1" x14ac:dyDescent="0.25"/>
    <row r="261" spans="1:12" ht="9.9499999999999993" customHeight="1" x14ac:dyDescent="0.25"/>
    <row r="262" spans="1:12" ht="9.9499999999999993" customHeight="1" x14ac:dyDescent="0.25"/>
    <row r="263" spans="1:12" ht="9.9499999999999993" customHeight="1" x14ac:dyDescent="0.25"/>
    <row r="264" spans="1:12" ht="9.9499999999999993" customHeight="1" x14ac:dyDescent="0.25"/>
    <row r="265" spans="1:12" ht="9.9499999999999993" customHeight="1" x14ac:dyDescent="0.25"/>
    <row r="266" spans="1:12" ht="9.9499999999999993" customHeight="1" x14ac:dyDescent="0.25"/>
    <row r="267" spans="1:12" ht="9.9499999999999993" customHeight="1" x14ac:dyDescent="0.25"/>
    <row r="268" spans="1:12" ht="9.9499999999999993" customHeight="1" x14ac:dyDescent="0.25">
      <c r="A268" s="7"/>
      <c r="B268" s="7"/>
      <c r="C268" s="7"/>
      <c r="D268" s="100"/>
      <c r="E268" s="100"/>
      <c r="F268" s="7"/>
      <c r="G268" s="43"/>
      <c r="H268" s="43"/>
      <c r="I268" s="7"/>
      <c r="J268" s="43"/>
      <c r="K268" s="43"/>
      <c r="L268" s="7"/>
    </row>
    <row r="269" spans="1:12" ht="9.9499999999999993" customHeight="1" x14ac:dyDescent="0.25">
      <c r="A269" s="7"/>
      <c r="B269" s="7"/>
      <c r="C269" s="7"/>
      <c r="D269" s="100"/>
      <c r="E269" s="100"/>
      <c r="F269" s="7"/>
      <c r="G269" s="43"/>
      <c r="H269" s="43"/>
      <c r="I269" s="7"/>
      <c r="J269" s="43"/>
      <c r="K269" s="43"/>
      <c r="L269" s="7"/>
    </row>
    <row r="270" spans="1:12" ht="9.9499999999999993" customHeight="1" x14ac:dyDescent="0.25">
      <c r="A270" s="7"/>
      <c r="B270" s="7"/>
      <c r="C270" s="7"/>
      <c r="D270" s="100"/>
      <c r="E270" s="100"/>
      <c r="F270" s="7"/>
      <c r="G270" s="43"/>
      <c r="H270" s="43"/>
      <c r="I270" s="7"/>
      <c r="J270" s="43"/>
      <c r="K270" s="43"/>
      <c r="L270" s="7"/>
    </row>
    <row r="271" spans="1:12" ht="9.9499999999999993" customHeight="1" x14ac:dyDescent="0.25">
      <c r="A271" s="7"/>
      <c r="B271" s="7"/>
      <c r="C271" s="7"/>
      <c r="D271" s="100"/>
      <c r="E271" s="100"/>
      <c r="F271" s="7"/>
      <c r="G271" s="43"/>
      <c r="H271" s="43"/>
      <c r="I271" s="7"/>
      <c r="J271" s="43"/>
      <c r="K271" s="43"/>
      <c r="L271" s="7"/>
    </row>
    <row r="272" spans="1:12" ht="9.9499999999999993" customHeight="1" x14ac:dyDescent="0.25">
      <c r="A272" s="7"/>
      <c r="B272" s="7"/>
      <c r="C272" s="7"/>
      <c r="D272" s="100"/>
      <c r="E272" s="100"/>
      <c r="F272" s="7"/>
      <c r="G272" s="43"/>
      <c r="H272" s="43"/>
      <c r="I272" s="7"/>
      <c r="J272" s="43"/>
      <c r="K272" s="43"/>
      <c r="L272" s="7"/>
    </row>
    <row r="273" spans="1:12" ht="9.9499999999999993" customHeight="1" x14ac:dyDescent="0.25">
      <c r="A273" s="7"/>
      <c r="B273" s="7"/>
      <c r="C273" s="7"/>
      <c r="D273" s="100"/>
      <c r="E273" s="100"/>
      <c r="F273" s="7"/>
      <c r="G273" s="43"/>
      <c r="H273" s="43"/>
      <c r="I273" s="7"/>
      <c r="J273" s="43"/>
      <c r="K273" s="43"/>
      <c r="L273" s="7"/>
    </row>
    <row r="274" spans="1:12" ht="9.9499999999999993" customHeight="1" x14ac:dyDescent="0.25">
      <c r="A274" s="7"/>
      <c r="B274" s="7"/>
      <c r="C274" s="7"/>
      <c r="D274" s="100"/>
      <c r="E274" s="100"/>
      <c r="F274" s="7"/>
      <c r="G274" s="43"/>
      <c r="H274" s="43"/>
      <c r="I274" s="7"/>
      <c r="J274" s="43"/>
      <c r="K274" s="43"/>
      <c r="L274" s="7"/>
    </row>
    <row r="275" spans="1:12" ht="9.9499999999999993" customHeight="1" x14ac:dyDescent="0.25">
      <c r="A275" s="7"/>
      <c r="B275" s="7"/>
      <c r="C275" s="7"/>
      <c r="D275" s="100"/>
      <c r="E275" s="100"/>
      <c r="F275" s="7"/>
      <c r="G275" s="43"/>
      <c r="H275" s="43"/>
      <c r="I275" s="7"/>
      <c r="J275" s="43"/>
      <c r="K275" s="43"/>
      <c r="L275" s="7"/>
    </row>
    <row r="276" spans="1:12" ht="9.9499999999999993" customHeight="1" x14ac:dyDescent="0.25">
      <c r="A276" s="7"/>
      <c r="B276" s="7"/>
      <c r="C276" s="7"/>
      <c r="D276" s="100"/>
      <c r="E276" s="100"/>
      <c r="F276" s="7"/>
      <c r="G276" s="43"/>
      <c r="H276" s="43"/>
      <c r="I276" s="7"/>
      <c r="J276" s="43"/>
      <c r="K276" s="43"/>
      <c r="L276" s="7"/>
    </row>
    <row r="277" spans="1:12" ht="9.9499999999999993" customHeight="1" x14ac:dyDescent="0.25">
      <c r="A277" s="7"/>
      <c r="B277" s="7"/>
      <c r="C277" s="7"/>
      <c r="D277" s="100"/>
      <c r="E277" s="100"/>
      <c r="F277" s="7"/>
      <c r="G277" s="43"/>
      <c r="H277" s="43"/>
      <c r="I277" s="7"/>
      <c r="J277" s="43"/>
      <c r="K277" s="43"/>
      <c r="L277" s="7"/>
    </row>
    <row r="278" spans="1:12" ht="9.9499999999999993" customHeight="1" x14ac:dyDescent="0.25">
      <c r="A278" s="7"/>
      <c r="B278" s="7"/>
      <c r="C278" s="7"/>
      <c r="D278" s="100"/>
      <c r="E278" s="100"/>
      <c r="F278" s="7"/>
      <c r="G278" s="43"/>
      <c r="H278" s="43"/>
      <c r="I278" s="7"/>
      <c r="J278" s="43"/>
      <c r="K278" s="43"/>
      <c r="L278" s="7"/>
    </row>
    <row r="279" spans="1:12" ht="9.9499999999999993" customHeight="1" x14ac:dyDescent="0.25">
      <c r="A279" s="7"/>
      <c r="B279" s="7"/>
      <c r="C279" s="7"/>
      <c r="D279" s="100"/>
      <c r="E279" s="100"/>
      <c r="F279" s="7"/>
      <c r="G279" s="43"/>
      <c r="H279" s="43"/>
      <c r="I279" s="7"/>
      <c r="J279" s="43"/>
      <c r="K279" s="43"/>
      <c r="L279" s="7"/>
    </row>
    <row r="280" spans="1:12" ht="9.9499999999999993" customHeight="1" x14ac:dyDescent="0.25">
      <c r="A280" s="7"/>
      <c r="B280" s="7"/>
      <c r="C280" s="7"/>
      <c r="D280" s="100"/>
      <c r="E280" s="100"/>
      <c r="F280" s="7"/>
      <c r="G280" s="43"/>
      <c r="H280" s="43"/>
      <c r="I280" s="7"/>
      <c r="J280" s="43"/>
      <c r="K280" s="43"/>
      <c r="L280" s="7"/>
    </row>
    <row r="281" spans="1:12" ht="9.9499999999999993" customHeight="1" x14ac:dyDescent="0.25">
      <c r="A281" s="7"/>
      <c r="B281" s="7"/>
      <c r="C281" s="7"/>
      <c r="D281" s="100"/>
      <c r="E281" s="100"/>
      <c r="F281" s="7"/>
      <c r="G281" s="43"/>
      <c r="H281" s="43"/>
      <c r="I281" s="7"/>
      <c r="J281" s="43"/>
      <c r="K281" s="43"/>
      <c r="L281" s="7"/>
    </row>
    <row r="282" spans="1:12" ht="9.9499999999999993" customHeight="1" x14ac:dyDescent="0.25">
      <c r="A282" s="7"/>
      <c r="B282" s="7"/>
      <c r="C282" s="7"/>
      <c r="D282" s="100"/>
      <c r="E282" s="100"/>
      <c r="F282" s="7"/>
      <c r="G282" s="43"/>
      <c r="H282" s="43"/>
      <c r="I282" s="7"/>
      <c r="J282" s="43"/>
      <c r="K282" s="43"/>
      <c r="L282" s="7"/>
    </row>
    <row r="283" spans="1:12" ht="9.9499999999999993" customHeight="1" x14ac:dyDescent="0.25">
      <c r="A283" s="7"/>
      <c r="B283" s="7"/>
      <c r="C283" s="7"/>
      <c r="D283" s="100"/>
      <c r="E283" s="100"/>
      <c r="F283" s="7"/>
      <c r="G283" s="43"/>
      <c r="H283" s="43"/>
      <c r="I283" s="7"/>
      <c r="J283" s="43"/>
      <c r="K283" s="43"/>
      <c r="L283" s="7"/>
    </row>
    <row r="284" spans="1:12" ht="9.9499999999999993" customHeight="1" x14ac:dyDescent="0.25">
      <c r="A284" s="7"/>
      <c r="B284" s="7"/>
      <c r="C284" s="7"/>
      <c r="D284" s="100"/>
      <c r="E284" s="100"/>
      <c r="F284" s="7"/>
      <c r="G284" s="43"/>
      <c r="H284" s="43"/>
      <c r="I284" s="7"/>
      <c r="J284" s="43"/>
      <c r="K284" s="43"/>
      <c r="L284" s="7"/>
    </row>
    <row r="285" spans="1:12" ht="9.9499999999999993" customHeight="1" x14ac:dyDescent="0.25">
      <c r="A285" s="7"/>
      <c r="B285" s="7"/>
      <c r="C285" s="7"/>
      <c r="D285" s="100"/>
      <c r="E285" s="100"/>
      <c r="F285" s="7"/>
      <c r="G285" s="43"/>
      <c r="H285" s="43"/>
      <c r="I285" s="7"/>
      <c r="J285" s="43"/>
      <c r="K285" s="43"/>
      <c r="L285" s="7"/>
    </row>
    <row r="286" spans="1:12" ht="9.9499999999999993" customHeight="1" x14ac:dyDescent="0.25">
      <c r="A286" s="7"/>
      <c r="B286" s="7"/>
      <c r="C286" s="7"/>
      <c r="D286" s="100"/>
      <c r="E286" s="100"/>
      <c r="F286" s="7"/>
      <c r="G286" s="43"/>
      <c r="H286" s="43"/>
      <c r="I286" s="7"/>
      <c r="J286" s="43"/>
      <c r="K286" s="43"/>
      <c r="L286" s="7"/>
    </row>
    <row r="287" spans="1:12" ht="9.9499999999999993" customHeight="1" x14ac:dyDescent="0.25">
      <c r="A287" s="7"/>
      <c r="B287" s="7"/>
      <c r="C287" s="7"/>
      <c r="D287" s="100"/>
      <c r="E287" s="100"/>
      <c r="F287" s="7"/>
      <c r="G287" s="43"/>
      <c r="H287" s="43"/>
      <c r="I287" s="7"/>
      <c r="J287" s="43"/>
      <c r="K287" s="43"/>
      <c r="L287" s="7"/>
    </row>
    <row r="288" spans="1:12" ht="9.9499999999999993" customHeight="1" x14ac:dyDescent="0.25">
      <c r="A288" s="7"/>
      <c r="B288" s="7"/>
      <c r="C288" s="7"/>
      <c r="D288" s="100"/>
      <c r="E288" s="100"/>
      <c r="F288" s="7"/>
      <c r="G288" s="43"/>
      <c r="H288" s="43"/>
      <c r="I288" s="7"/>
      <c r="J288" s="43"/>
      <c r="K288" s="43"/>
      <c r="L288" s="7"/>
    </row>
    <row r="289" spans="1:12" ht="9.9499999999999993" customHeight="1" x14ac:dyDescent="0.25">
      <c r="A289" s="7"/>
      <c r="B289" s="7"/>
      <c r="C289" s="7"/>
      <c r="D289" s="100"/>
      <c r="E289" s="100"/>
      <c r="F289" s="7"/>
      <c r="G289" s="43"/>
      <c r="H289" s="43"/>
      <c r="I289" s="7"/>
      <c r="J289" s="43"/>
      <c r="K289" s="43"/>
      <c r="L289" s="7"/>
    </row>
    <row r="290" spans="1:12" ht="9.9499999999999993" customHeight="1" x14ac:dyDescent="0.25">
      <c r="A290" s="7"/>
      <c r="B290" s="7"/>
      <c r="C290" s="7"/>
      <c r="D290" s="100"/>
      <c r="E290" s="100"/>
      <c r="F290" s="7"/>
      <c r="G290" s="43"/>
      <c r="H290" s="43"/>
      <c r="I290" s="7"/>
      <c r="J290" s="43"/>
      <c r="K290" s="43"/>
      <c r="L290" s="7"/>
    </row>
    <row r="291" spans="1:12" ht="9.9499999999999993" customHeight="1" x14ac:dyDescent="0.25">
      <c r="A291" s="7"/>
      <c r="B291" s="7"/>
      <c r="C291" s="7"/>
      <c r="D291" s="100"/>
      <c r="E291" s="100"/>
      <c r="F291" s="7"/>
      <c r="G291" s="43"/>
      <c r="H291" s="43"/>
      <c r="I291" s="7"/>
      <c r="J291" s="43"/>
      <c r="K291" s="43"/>
      <c r="L291" s="7"/>
    </row>
    <row r="292" spans="1:12" ht="9.9499999999999993" customHeight="1" x14ac:dyDescent="0.25">
      <c r="A292" s="7"/>
      <c r="B292" s="7"/>
      <c r="C292" s="7"/>
      <c r="D292" s="100"/>
      <c r="E292" s="100"/>
      <c r="F292" s="7"/>
      <c r="G292" s="43"/>
      <c r="H292" s="43"/>
      <c r="I292" s="7"/>
      <c r="J292" s="43"/>
      <c r="K292" s="43"/>
      <c r="L292" s="7"/>
    </row>
    <row r="293" spans="1:12" ht="9.9499999999999993" customHeight="1" x14ac:dyDescent="0.25">
      <c r="A293" s="7"/>
      <c r="B293" s="7"/>
      <c r="C293" s="7"/>
      <c r="D293" s="100"/>
      <c r="E293" s="100"/>
      <c r="F293" s="7"/>
      <c r="G293" s="43"/>
      <c r="H293" s="43"/>
      <c r="I293" s="7"/>
      <c r="J293" s="43"/>
      <c r="K293" s="43"/>
      <c r="L293" s="7"/>
    </row>
    <row r="294" spans="1:12" ht="9.9499999999999993" customHeight="1" x14ac:dyDescent="0.25">
      <c r="A294" s="7"/>
      <c r="B294" s="7"/>
      <c r="C294" s="7"/>
      <c r="D294" s="100"/>
      <c r="E294" s="100"/>
      <c r="F294" s="7"/>
      <c r="G294" s="43"/>
      <c r="H294" s="43"/>
      <c r="I294" s="7"/>
      <c r="J294" s="43"/>
      <c r="K294" s="43"/>
      <c r="L294" s="7"/>
    </row>
    <row r="295" spans="1:12" ht="9.9499999999999993" customHeight="1" x14ac:dyDescent="0.25">
      <c r="A295" s="7"/>
      <c r="B295" s="7"/>
      <c r="C295" s="7"/>
      <c r="D295" s="100"/>
      <c r="E295" s="100"/>
      <c r="F295" s="7"/>
      <c r="G295" s="43"/>
      <c r="H295" s="43"/>
      <c r="I295" s="7"/>
      <c r="J295" s="43"/>
      <c r="K295" s="43"/>
      <c r="L295" s="7"/>
    </row>
    <row r="296" spans="1:12" ht="9.9499999999999993" customHeight="1" x14ac:dyDescent="0.25">
      <c r="A296" s="7"/>
      <c r="B296" s="7"/>
      <c r="C296" s="7"/>
      <c r="D296" s="100"/>
      <c r="E296" s="100"/>
      <c r="F296" s="7"/>
      <c r="G296" s="43"/>
      <c r="H296" s="43"/>
      <c r="I296" s="7"/>
      <c r="J296" s="43"/>
      <c r="K296" s="43"/>
      <c r="L296" s="7"/>
    </row>
    <row r="297" spans="1:12" ht="9.9499999999999993" customHeight="1" x14ac:dyDescent="0.25">
      <c r="A297" s="7"/>
      <c r="B297" s="7"/>
      <c r="C297" s="7"/>
      <c r="D297" s="100"/>
      <c r="E297" s="100"/>
      <c r="F297" s="7"/>
      <c r="G297" s="43"/>
      <c r="H297" s="43"/>
      <c r="I297" s="7"/>
      <c r="J297" s="43"/>
      <c r="K297" s="43"/>
      <c r="L297" s="7"/>
    </row>
    <row r="298" spans="1:12" ht="9.9499999999999993" customHeight="1" x14ac:dyDescent="0.25">
      <c r="A298" s="7"/>
      <c r="B298" s="7"/>
      <c r="C298" s="7"/>
      <c r="D298" s="100"/>
      <c r="E298" s="100"/>
      <c r="F298" s="7"/>
      <c r="G298" s="43"/>
      <c r="H298" s="43"/>
      <c r="I298" s="7"/>
      <c r="J298" s="43"/>
      <c r="K298" s="43"/>
      <c r="L298" s="7"/>
    </row>
    <row r="299" spans="1:12" ht="9.9499999999999993" customHeight="1" x14ac:dyDescent="0.25">
      <c r="A299" s="7"/>
      <c r="B299" s="7"/>
      <c r="C299" s="7"/>
      <c r="D299" s="100"/>
      <c r="E299" s="100"/>
      <c r="F299" s="7"/>
      <c r="G299" s="43"/>
      <c r="H299" s="43"/>
      <c r="I299" s="7"/>
      <c r="J299" s="43"/>
      <c r="K299" s="43"/>
      <c r="L299" s="7"/>
    </row>
    <row r="300" spans="1:12" ht="9.9499999999999993" customHeight="1" x14ac:dyDescent="0.25">
      <c r="A300" s="7"/>
      <c r="B300" s="7"/>
      <c r="C300" s="7"/>
      <c r="D300" s="100"/>
      <c r="E300" s="100"/>
      <c r="F300" s="7"/>
      <c r="G300" s="43"/>
      <c r="H300" s="43"/>
      <c r="I300" s="7"/>
      <c r="J300" s="43"/>
      <c r="K300" s="43"/>
      <c r="L300" s="7"/>
    </row>
    <row r="301" spans="1:12" ht="9.9499999999999993" customHeight="1" x14ac:dyDescent="0.25">
      <c r="A301" s="7"/>
      <c r="B301" s="7"/>
      <c r="C301" s="7"/>
      <c r="D301" s="100"/>
      <c r="E301" s="100"/>
      <c r="F301" s="7"/>
      <c r="G301" s="43"/>
      <c r="H301" s="43"/>
      <c r="I301" s="7"/>
      <c r="J301" s="43"/>
      <c r="K301" s="43"/>
      <c r="L301" s="7"/>
    </row>
    <row r="302" spans="1:12" x14ac:dyDescent="0.25">
      <c r="A302" s="7"/>
      <c r="B302" s="7"/>
      <c r="C302" s="7"/>
      <c r="D302" s="100"/>
      <c r="E302" s="100"/>
      <c r="F302" s="7"/>
      <c r="G302" s="43"/>
      <c r="H302" s="43"/>
      <c r="I302" s="7"/>
      <c r="J302" s="43"/>
      <c r="K302" s="43"/>
      <c r="L302" s="7"/>
    </row>
    <row r="303" spans="1:12" x14ac:dyDescent="0.25">
      <c r="A303" s="7"/>
      <c r="B303" s="7"/>
      <c r="C303" s="7"/>
      <c r="D303" s="100"/>
      <c r="E303" s="100"/>
      <c r="F303" s="7"/>
      <c r="G303" s="43"/>
      <c r="H303" s="43"/>
      <c r="I303" s="7"/>
      <c r="J303" s="43"/>
      <c r="K303" s="43"/>
      <c r="L303" s="7"/>
    </row>
    <row r="304" spans="1:12" x14ac:dyDescent="0.25">
      <c r="A304" s="7"/>
      <c r="B304" s="7"/>
      <c r="C304" s="7"/>
      <c r="D304" s="100"/>
      <c r="E304" s="100"/>
      <c r="F304" s="7"/>
      <c r="G304" s="43"/>
      <c r="H304" s="43"/>
      <c r="I304" s="7"/>
      <c r="J304" s="43"/>
      <c r="K304" s="43"/>
      <c r="L304" s="7"/>
    </row>
    <row r="305" spans="1:12" x14ac:dyDescent="0.25">
      <c r="A305" s="7"/>
      <c r="B305" s="7"/>
      <c r="C305" s="7"/>
      <c r="D305" s="100"/>
      <c r="E305" s="100"/>
      <c r="F305" s="7"/>
      <c r="G305" s="43"/>
      <c r="H305" s="43"/>
      <c r="I305" s="7"/>
      <c r="J305" s="43"/>
      <c r="K305" s="43"/>
      <c r="L305" s="7"/>
    </row>
    <row r="306" spans="1:12" x14ac:dyDescent="0.25">
      <c r="A306" s="7"/>
      <c r="B306" s="7"/>
      <c r="C306" s="7"/>
      <c r="D306" s="100"/>
      <c r="E306" s="100"/>
      <c r="F306" s="7"/>
      <c r="G306" s="43"/>
      <c r="H306" s="43"/>
      <c r="I306" s="7"/>
      <c r="J306" s="43"/>
      <c r="K306" s="43"/>
      <c r="L306" s="7"/>
    </row>
    <row r="307" spans="1:12" x14ac:dyDescent="0.25">
      <c r="A307" s="7"/>
      <c r="B307" s="7"/>
      <c r="C307" s="7"/>
      <c r="D307" s="100"/>
      <c r="E307" s="100"/>
      <c r="F307" s="7"/>
      <c r="G307" s="43"/>
      <c r="H307" s="43"/>
      <c r="I307" s="7"/>
      <c r="J307" s="43"/>
      <c r="K307" s="43"/>
      <c r="L307" s="7"/>
    </row>
    <row r="308" spans="1:12" x14ac:dyDescent="0.25">
      <c r="A308" s="7"/>
      <c r="B308" s="7"/>
      <c r="C308" s="7"/>
      <c r="D308" s="100"/>
      <c r="E308" s="100"/>
      <c r="F308" s="7"/>
      <c r="G308" s="43"/>
      <c r="H308" s="43"/>
      <c r="I308" s="7"/>
      <c r="J308" s="43"/>
      <c r="K308" s="43"/>
      <c r="L308" s="7"/>
    </row>
    <row r="309" spans="1:12" x14ac:dyDescent="0.25">
      <c r="A309" s="7"/>
      <c r="B309" s="7"/>
      <c r="C309" s="7"/>
      <c r="D309" s="100"/>
      <c r="E309" s="100"/>
      <c r="F309" s="7"/>
      <c r="G309" s="43"/>
      <c r="H309" s="43"/>
      <c r="I309" s="7"/>
      <c r="J309" s="43"/>
      <c r="K309" s="43"/>
      <c r="L309" s="7"/>
    </row>
    <row r="310" spans="1:12" x14ac:dyDescent="0.25">
      <c r="A310" s="7"/>
      <c r="B310" s="7"/>
      <c r="C310" s="7"/>
      <c r="D310" s="100"/>
      <c r="E310" s="100"/>
      <c r="F310" s="7"/>
      <c r="G310" s="43"/>
      <c r="H310" s="43"/>
      <c r="I310" s="7"/>
      <c r="J310" s="43"/>
      <c r="K310" s="43"/>
      <c r="L310" s="7"/>
    </row>
    <row r="311" spans="1:12" x14ac:dyDescent="0.25">
      <c r="A311" s="7"/>
      <c r="B311" s="7"/>
      <c r="C311" s="7"/>
      <c r="D311" s="100"/>
      <c r="E311" s="100"/>
      <c r="F311" s="7"/>
      <c r="G311" s="43"/>
      <c r="H311" s="43"/>
      <c r="I311" s="7"/>
      <c r="J311" s="43"/>
      <c r="K311" s="43"/>
      <c r="L311" s="7"/>
    </row>
    <row r="312" spans="1:12" x14ac:dyDescent="0.25">
      <c r="A312" s="7"/>
      <c r="B312" s="7"/>
      <c r="C312" s="7"/>
      <c r="D312" s="100"/>
      <c r="E312" s="100"/>
      <c r="F312" s="7"/>
      <c r="G312" s="43"/>
      <c r="H312" s="43"/>
      <c r="I312" s="7"/>
      <c r="J312" s="43"/>
      <c r="K312" s="43"/>
      <c r="L312" s="7"/>
    </row>
    <row r="313" spans="1:12" x14ac:dyDescent="0.25">
      <c r="A313" s="7"/>
      <c r="B313" s="7"/>
      <c r="C313" s="7"/>
      <c r="D313" s="100"/>
      <c r="E313" s="100"/>
      <c r="F313" s="7"/>
      <c r="G313" s="43"/>
      <c r="H313" s="43"/>
      <c r="I313" s="7"/>
      <c r="J313" s="43"/>
      <c r="K313" s="43"/>
      <c r="L313" s="7"/>
    </row>
    <row r="314" spans="1:12" x14ac:dyDescent="0.25">
      <c r="A314" s="7"/>
      <c r="B314" s="7"/>
      <c r="C314" s="7"/>
      <c r="D314" s="100"/>
      <c r="E314" s="100"/>
      <c r="F314" s="7"/>
      <c r="G314" s="43"/>
      <c r="H314" s="43"/>
      <c r="I314" s="7"/>
      <c r="J314" s="43"/>
      <c r="K314" s="43"/>
      <c r="L314" s="7"/>
    </row>
    <row r="315" spans="1:12" x14ac:dyDescent="0.25">
      <c r="A315" s="7"/>
      <c r="B315" s="7"/>
      <c r="C315" s="7"/>
      <c r="D315" s="100"/>
      <c r="E315" s="100"/>
      <c r="F315" s="7"/>
      <c r="G315" s="43"/>
      <c r="H315" s="43"/>
      <c r="I315" s="7"/>
      <c r="J315" s="43"/>
      <c r="K315" s="43"/>
      <c r="L315" s="7"/>
    </row>
    <row r="316" spans="1:12" x14ac:dyDescent="0.25">
      <c r="A316" s="7"/>
      <c r="B316" s="7"/>
      <c r="C316" s="7"/>
      <c r="D316" s="100"/>
      <c r="E316" s="100"/>
      <c r="F316" s="7"/>
      <c r="G316" s="43"/>
      <c r="H316" s="43"/>
      <c r="I316" s="7"/>
      <c r="J316" s="43"/>
      <c r="K316" s="43"/>
      <c r="L316" s="7"/>
    </row>
    <row r="317" spans="1:12" x14ac:dyDescent="0.25">
      <c r="A317" s="7"/>
      <c r="B317" s="7"/>
      <c r="C317" s="7"/>
      <c r="D317" s="100"/>
      <c r="E317" s="100"/>
      <c r="F317" s="7"/>
      <c r="G317" s="43"/>
      <c r="H317" s="43"/>
      <c r="I317" s="7"/>
      <c r="J317" s="43"/>
      <c r="K317" s="43"/>
      <c r="L317" s="7"/>
    </row>
    <row r="318" spans="1:12" x14ac:dyDescent="0.25">
      <c r="A318" s="7"/>
      <c r="B318" s="7"/>
      <c r="C318" s="7"/>
      <c r="D318" s="100"/>
      <c r="E318" s="100"/>
      <c r="F318" s="7"/>
      <c r="G318" s="43"/>
      <c r="H318" s="43"/>
      <c r="I318" s="7"/>
      <c r="J318" s="43"/>
      <c r="K318" s="43"/>
      <c r="L318" s="7"/>
    </row>
    <row r="319" spans="1:12" x14ac:dyDescent="0.25">
      <c r="A319" s="7"/>
      <c r="B319" s="7"/>
      <c r="C319" s="7"/>
      <c r="D319" s="100"/>
      <c r="E319" s="100"/>
      <c r="F319" s="7"/>
      <c r="G319" s="43"/>
      <c r="H319" s="43"/>
      <c r="I319" s="7"/>
      <c r="J319" s="43"/>
      <c r="K319" s="43"/>
      <c r="L319" s="7"/>
    </row>
    <row r="320" spans="1:12" x14ac:dyDescent="0.25">
      <c r="A320" s="7"/>
      <c r="B320" s="7"/>
      <c r="C320" s="7"/>
      <c r="D320" s="100"/>
      <c r="E320" s="100"/>
      <c r="F320" s="7"/>
      <c r="G320" s="43"/>
      <c r="H320" s="43"/>
      <c r="I320" s="7"/>
      <c r="J320" s="43"/>
      <c r="K320" s="43"/>
      <c r="L320" s="7"/>
    </row>
    <row r="321" spans="1:12" x14ac:dyDescent="0.25">
      <c r="A321" s="7"/>
      <c r="B321" s="7"/>
      <c r="C321" s="7"/>
      <c r="D321" s="100"/>
      <c r="E321" s="100"/>
      <c r="F321" s="7"/>
      <c r="G321" s="43"/>
      <c r="H321" s="43"/>
      <c r="I321" s="7"/>
      <c r="J321" s="43"/>
      <c r="K321" s="43"/>
      <c r="L321" s="7"/>
    </row>
    <row r="322" spans="1:12" x14ac:dyDescent="0.25">
      <c r="A322" s="7"/>
      <c r="B322" s="7"/>
      <c r="C322" s="7"/>
      <c r="D322" s="100"/>
      <c r="E322" s="100"/>
      <c r="F322" s="7"/>
      <c r="G322" s="43"/>
      <c r="H322" s="43"/>
      <c r="I322" s="7"/>
      <c r="J322" s="43"/>
      <c r="K322" s="43"/>
      <c r="L322" s="7"/>
    </row>
    <row r="323" spans="1:12" x14ac:dyDescent="0.25">
      <c r="A323" s="7"/>
      <c r="B323" s="7"/>
      <c r="C323" s="7"/>
      <c r="D323" s="100"/>
      <c r="E323" s="100"/>
      <c r="F323" s="7"/>
      <c r="G323" s="43"/>
      <c r="H323" s="43"/>
      <c r="I323" s="7"/>
      <c r="J323" s="43"/>
      <c r="K323" s="43"/>
      <c r="L323" s="7"/>
    </row>
    <row r="324" spans="1:12" x14ac:dyDescent="0.25">
      <c r="A324" s="7"/>
      <c r="B324" s="7"/>
      <c r="C324" s="7"/>
      <c r="D324" s="100"/>
      <c r="E324" s="100"/>
      <c r="F324" s="7"/>
      <c r="G324" s="43"/>
      <c r="H324" s="43"/>
      <c r="I324" s="7"/>
      <c r="J324" s="43"/>
      <c r="K324" s="43"/>
      <c r="L324" s="7"/>
    </row>
    <row r="325" spans="1:12" x14ac:dyDescent="0.25">
      <c r="A325" s="7"/>
      <c r="B325" s="7"/>
      <c r="C325" s="7"/>
      <c r="D325" s="100"/>
      <c r="E325" s="100"/>
      <c r="F325" s="7"/>
      <c r="G325" s="43"/>
      <c r="H325" s="43"/>
      <c r="I325" s="7"/>
      <c r="J325" s="43"/>
      <c r="K325" s="43"/>
      <c r="L325" s="7"/>
    </row>
    <row r="326" spans="1:12" x14ac:dyDescent="0.25">
      <c r="A326" s="7"/>
      <c r="B326" s="7"/>
      <c r="C326" s="7"/>
      <c r="D326" s="100"/>
      <c r="E326" s="100"/>
      <c r="F326" s="7"/>
      <c r="G326" s="43"/>
      <c r="H326" s="43"/>
      <c r="I326" s="7"/>
      <c r="J326" s="43"/>
      <c r="K326" s="43"/>
      <c r="L326" s="7"/>
    </row>
    <row r="327" spans="1:12" x14ac:dyDescent="0.25">
      <c r="A327" s="7"/>
      <c r="B327" s="7"/>
      <c r="C327" s="7"/>
      <c r="D327" s="100"/>
      <c r="E327" s="100"/>
      <c r="F327" s="7"/>
      <c r="G327" s="43"/>
      <c r="H327" s="43"/>
      <c r="I327" s="7"/>
      <c r="J327" s="43"/>
      <c r="K327" s="43"/>
      <c r="L327" s="7"/>
    </row>
    <row r="328" spans="1:12" x14ac:dyDescent="0.25">
      <c r="A328" s="7"/>
      <c r="B328" s="7"/>
      <c r="C328" s="7"/>
      <c r="D328" s="100"/>
      <c r="E328" s="100"/>
      <c r="F328" s="7"/>
      <c r="G328" s="43"/>
      <c r="H328" s="43"/>
      <c r="I328" s="7"/>
      <c r="J328" s="43"/>
      <c r="K328" s="43"/>
      <c r="L328" s="7"/>
    </row>
    <row r="329" spans="1:12" x14ac:dyDescent="0.25">
      <c r="A329" s="7"/>
      <c r="B329" s="7"/>
      <c r="C329" s="7"/>
      <c r="D329" s="100"/>
      <c r="E329" s="100"/>
      <c r="F329" s="7"/>
      <c r="G329" s="43"/>
      <c r="H329" s="43"/>
      <c r="I329" s="7"/>
      <c r="J329" s="43"/>
      <c r="K329" s="43"/>
      <c r="L329" s="7"/>
    </row>
    <row r="330" spans="1:12" x14ac:dyDescent="0.25">
      <c r="A330" s="7"/>
      <c r="B330" s="7"/>
      <c r="C330" s="7"/>
      <c r="D330" s="100"/>
      <c r="E330" s="100"/>
      <c r="F330" s="7"/>
      <c r="G330" s="43"/>
      <c r="H330" s="43"/>
      <c r="I330" s="7"/>
      <c r="J330" s="43"/>
      <c r="K330" s="43"/>
      <c r="L330" s="7"/>
    </row>
    <row r="331" spans="1:12" x14ac:dyDescent="0.25">
      <c r="A331" s="7"/>
      <c r="B331" s="7"/>
      <c r="C331" s="7"/>
      <c r="D331" s="100"/>
      <c r="E331" s="100"/>
      <c r="F331" s="7"/>
      <c r="G331" s="43"/>
      <c r="H331" s="43"/>
      <c r="I331" s="7"/>
      <c r="J331" s="43"/>
      <c r="K331" s="43"/>
      <c r="L331" s="7"/>
    </row>
    <row r="332" spans="1:12" x14ac:dyDescent="0.25">
      <c r="A332" s="7"/>
      <c r="B332" s="7"/>
      <c r="C332" s="7"/>
      <c r="D332" s="100"/>
      <c r="E332" s="100"/>
      <c r="F332" s="7"/>
      <c r="G332" s="43"/>
      <c r="H332" s="43"/>
      <c r="I332" s="7"/>
      <c r="J332" s="43"/>
      <c r="K332" s="43"/>
      <c r="L332" s="7"/>
    </row>
    <row r="333" spans="1:12" x14ac:dyDescent="0.25">
      <c r="A333" s="7"/>
      <c r="B333" s="7"/>
      <c r="C333" s="7"/>
      <c r="D333" s="100"/>
      <c r="E333" s="100"/>
      <c r="F333" s="7"/>
      <c r="G333" s="43"/>
      <c r="H333" s="43"/>
      <c r="I333" s="7"/>
      <c r="J333" s="43"/>
      <c r="K333" s="43"/>
      <c r="L333" s="7"/>
    </row>
    <row r="334" spans="1:12" x14ac:dyDescent="0.25">
      <c r="A334" s="7"/>
      <c r="B334" s="7"/>
      <c r="C334" s="7"/>
      <c r="D334" s="100"/>
      <c r="E334" s="100"/>
      <c r="F334" s="7"/>
      <c r="G334" s="43"/>
      <c r="H334" s="43"/>
      <c r="I334" s="7"/>
      <c r="J334" s="43"/>
      <c r="K334" s="43"/>
      <c r="L334" s="7"/>
    </row>
    <row r="335" spans="1:12" x14ac:dyDescent="0.25">
      <c r="A335" s="7"/>
      <c r="B335" s="7"/>
      <c r="C335" s="7"/>
      <c r="D335" s="100"/>
      <c r="E335" s="100"/>
      <c r="F335" s="7"/>
      <c r="G335" s="43"/>
      <c r="H335" s="43"/>
      <c r="I335" s="7"/>
      <c r="J335" s="43"/>
      <c r="K335" s="43"/>
      <c r="L335" s="7"/>
    </row>
    <row r="336" spans="1:12" x14ac:dyDescent="0.25">
      <c r="A336" s="7"/>
      <c r="B336" s="7"/>
      <c r="C336" s="7"/>
      <c r="D336" s="100"/>
      <c r="E336" s="100"/>
      <c r="F336" s="7"/>
      <c r="G336" s="43"/>
      <c r="H336" s="43"/>
      <c r="I336" s="7"/>
      <c r="J336" s="43"/>
      <c r="K336" s="43"/>
      <c r="L336" s="7"/>
    </row>
    <row r="337" spans="1:12" x14ac:dyDescent="0.25">
      <c r="A337" s="7"/>
      <c r="B337" s="7"/>
      <c r="C337" s="7"/>
      <c r="D337" s="100"/>
      <c r="E337" s="100"/>
      <c r="F337" s="7"/>
      <c r="G337" s="43"/>
      <c r="H337" s="43"/>
      <c r="I337" s="7"/>
      <c r="J337" s="43"/>
      <c r="K337" s="43"/>
      <c r="L337" s="7"/>
    </row>
    <row r="338" spans="1:12" x14ac:dyDescent="0.25">
      <c r="A338" s="7"/>
      <c r="B338" s="7"/>
      <c r="C338" s="7"/>
      <c r="D338" s="100"/>
      <c r="E338" s="100"/>
      <c r="F338" s="7"/>
      <c r="G338" s="43"/>
      <c r="H338" s="43"/>
      <c r="I338" s="7"/>
      <c r="J338" s="43"/>
      <c r="K338" s="43"/>
      <c r="L338" s="7"/>
    </row>
    <row r="339" spans="1:12" x14ac:dyDescent="0.25">
      <c r="A339" s="7"/>
      <c r="B339" s="7"/>
      <c r="C339" s="7"/>
      <c r="D339" s="100"/>
      <c r="E339" s="100"/>
      <c r="F339" s="7"/>
      <c r="G339" s="43"/>
      <c r="H339" s="43"/>
      <c r="I339" s="7"/>
      <c r="J339" s="43"/>
      <c r="K339" s="43"/>
      <c r="L339" s="7"/>
    </row>
    <row r="340" spans="1:12" x14ac:dyDescent="0.25">
      <c r="A340" s="7"/>
      <c r="B340" s="7"/>
      <c r="C340" s="7"/>
      <c r="D340" s="100"/>
      <c r="E340" s="100"/>
      <c r="F340" s="7"/>
      <c r="G340" s="43"/>
      <c r="H340" s="43"/>
      <c r="I340" s="7"/>
      <c r="J340" s="43"/>
      <c r="K340" s="43"/>
      <c r="L340" s="7"/>
    </row>
    <row r="341" spans="1:12" x14ac:dyDescent="0.25">
      <c r="A341" s="7"/>
      <c r="B341" s="7"/>
      <c r="C341" s="7"/>
      <c r="D341" s="100"/>
      <c r="E341" s="100"/>
      <c r="F341" s="7"/>
      <c r="G341" s="43"/>
      <c r="H341" s="43"/>
      <c r="I341" s="7"/>
      <c r="J341" s="43"/>
      <c r="K341" s="43"/>
      <c r="L341" s="7"/>
    </row>
    <row r="342" spans="1:12" x14ac:dyDescent="0.25">
      <c r="A342" s="7"/>
      <c r="B342" s="7"/>
      <c r="C342" s="7"/>
      <c r="D342" s="100"/>
      <c r="E342" s="100"/>
      <c r="F342" s="7"/>
      <c r="G342" s="43"/>
      <c r="H342" s="43"/>
      <c r="I342" s="7"/>
      <c r="J342" s="43"/>
      <c r="K342" s="43"/>
      <c r="L342" s="7"/>
    </row>
    <row r="343" spans="1:12" x14ac:dyDescent="0.25">
      <c r="A343" s="7"/>
      <c r="B343" s="7"/>
      <c r="C343" s="7"/>
      <c r="D343" s="100"/>
      <c r="E343" s="100"/>
      <c r="F343" s="7"/>
      <c r="G343" s="43"/>
      <c r="H343" s="43"/>
      <c r="I343" s="7"/>
      <c r="J343" s="43"/>
      <c r="K343" s="43"/>
      <c r="L343" s="7"/>
    </row>
    <row r="344" spans="1:12" x14ac:dyDescent="0.25">
      <c r="A344" s="7"/>
      <c r="B344" s="7"/>
      <c r="C344" s="7"/>
      <c r="D344" s="100"/>
      <c r="E344" s="100"/>
      <c r="F344" s="7"/>
      <c r="G344" s="43"/>
      <c r="H344" s="43"/>
      <c r="I344" s="7"/>
      <c r="J344" s="43"/>
      <c r="K344" s="43"/>
      <c r="L344" s="7"/>
    </row>
    <row r="345" spans="1:12" x14ac:dyDescent="0.25">
      <c r="A345" s="7"/>
      <c r="B345" s="7"/>
      <c r="C345" s="7"/>
      <c r="D345" s="100"/>
      <c r="E345" s="100"/>
      <c r="F345" s="7"/>
      <c r="G345" s="43"/>
      <c r="H345" s="43"/>
      <c r="I345" s="7"/>
      <c r="J345" s="43"/>
      <c r="K345" s="43"/>
      <c r="L345" s="7"/>
    </row>
    <row r="346" spans="1:12" x14ac:dyDescent="0.25">
      <c r="A346" s="7"/>
      <c r="B346" s="7"/>
      <c r="C346" s="7"/>
      <c r="D346" s="100"/>
      <c r="E346" s="100"/>
      <c r="F346" s="7"/>
      <c r="G346" s="43"/>
      <c r="H346" s="43"/>
      <c r="I346" s="7"/>
      <c r="J346" s="43"/>
      <c r="K346" s="43"/>
      <c r="L346" s="7"/>
    </row>
    <row r="347" spans="1:12" x14ac:dyDescent="0.25">
      <c r="A347" s="7"/>
      <c r="B347" s="7"/>
      <c r="C347" s="7"/>
      <c r="D347" s="100"/>
      <c r="E347" s="100"/>
      <c r="F347" s="7"/>
      <c r="G347" s="43"/>
      <c r="H347" s="43"/>
      <c r="I347" s="7"/>
      <c r="J347" s="43"/>
      <c r="K347" s="43"/>
      <c r="L347" s="7"/>
    </row>
    <row r="348" spans="1:12" x14ac:dyDescent="0.25">
      <c r="A348" s="7"/>
      <c r="B348" s="7"/>
      <c r="C348" s="7"/>
      <c r="D348" s="100"/>
      <c r="E348" s="100"/>
      <c r="F348" s="7"/>
      <c r="G348" s="43"/>
      <c r="H348" s="43"/>
      <c r="I348" s="7"/>
      <c r="J348" s="43"/>
      <c r="K348" s="43"/>
      <c r="L348" s="7"/>
    </row>
    <row r="349" spans="1:12" x14ac:dyDescent="0.25">
      <c r="A349" s="7"/>
      <c r="B349" s="7"/>
      <c r="C349" s="7"/>
      <c r="D349" s="100"/>
      <c r="E349" s="100"/>
      <c r="F349" s="7"/>
      <c r="G349" s="43"/>
      <c r="H349" s="43"/>
      <c r="I349" s="7"/>
      <c r="J349" s="43"/>
      <c r="K349" s="43"/>
      <c r="L349" s="7"/>
    </row>
    <row r="350" spans="1:12" x14ac:dyDescent="0.25">
      <c r="A350" s="7"/>
      <c r="B350" s="7"/>
      <c r="C350" s="7"/>
      <c r="D350" s="100"/>
      <c r="E350" s="100"/>
      <c r="F350" s="7"/>
      <c r="G350" s="43"/>
      <c r="H350" s="43"/>
      <c r="I350" s="7"/>
      <c r="J350" s="43"/>
      <c r="K350" s="43"/>
      <c r="L350" s="7"/>
    </row>
    <row r="351" spans="1:12" x14ac:dyDescent="0.25">
      <c r="A351" s="7"/>
      <c r="B351" s="7"/>
      <c r="C351" s="7"/>
      <c r="D351" s="100"/>
      <c r="E351" s="100"/>
      <c r="F351" s="7"/>
      <c r="G351" s="43"/>
      <c r="H351" s="43"/>
      <c r="I351" s="7"/>
      <c r="J351" s="43"/>
      <c r="K351" s="43"/>
      <c r="L351" s="7"/>
    </row>
    <row r="352" spans="1:12" x14ac:dyDescent="0.25">
      <c r="A352" s="7"/>
      <c r="B352" s="7"/>
      <c r="C352" s="7"/>
      <c r="D352" s="100"/>
      <c r="E352" s="100"/>
      <c r="F352" s="7"/>
      <c r="G352" s="43"/>
      <c r="H352" s="43"/>
      <c r="I352" s="7"/>
      <c r="J352" s="43"/>
      <c r="K352" s="43"/>
      <c r="L352" s="7"/>
    </row>
    <row r="353" spans="1:12" x14ac:dyDescent="0.25">
      <c r="A353" s="7"/>
      <c r="B353" s="7"/>
      <c r="C353" s="7"/>
      <c r="D353" s="100"/>
      <c r="E353" s="100"/>
      <c r="F353" s="7"/>
      <c r="G353" s="43"/>
      <c r="H353" s="43"/>
      <c r="I353" s="7"/>
      <c r="J353" s="43"/>
      <c r="K353" s="43"/>
      <c r="L353" s="7"/>
    </row>
    <row r="354" spans="1:12" x14ac:dyDescent="0.25">
      <c r="A354" s="7"/>
      <c r="B354" s="7"/>
      <c r="C354" s="7"/>
      <c r="D354" s="100"/>
      <c r="E354" s="100"/>
      <c r="F354" s="7"/>
      <c r="G354" s="43"/>
      <c r="H354" s="43"/>
      <c r="I354" s="7"/>
      <c r="J354" s="43"/>
      <c r="K354" s="43"/>
      <c r="L354" s="7"/>
    </row>
    <row r="355" spans="1:12" x14ac:dyDescent="0.25">
      <c r="A355" s="7"/>
      <c r="B355" s="7"/>
      <c r="C355" s="7"/>
      <c r="D355" s="100"/>
      <c r="E355" s="100"/>
      <c r="F355" s="7"/>
      <c r="G355" s="43"/>
      <c r="H355" s="43"/>
      <c r="I355" s="7"/>
      <c r="J355" s="43"/>
      <c r="K355" s="43"/>
      <c r="L355" s="7"/>
    </row>
    <row r="356" spans="1:12" x14ac:dyDescent="0.25">
      <c r="A356" s="7"/>
      <c r="B356" s="7"/>
      <c r="C356" s="7"/>
      <c r="D356" s="100"/>
      <c r="E356" s="100"/>
      <c r="F356" s="7"/>
      <c r="G356" s="43"/>
      <c r="H356" s="43"/>
      <c r="I356" s="7"/>
      <c r="J356" s="43"/>
      <c r="K356" s="43"/>
      <c r="L356" s="7"/>
    </row>
    <row r="357" spans="1:12" x14ac:dyDescent="0.25">
      <c r="A357" s="7"/>
      <c r="B357" s="7"/>
      <c r="C357" s="7"/>
      <c r="D357" s="100"/>
      <c r="E357" s="100"/>
      <c r="F357" s="7"/>
      <c r="G357" s="43"/>
      <c r="H357" s="43"/>
      <c r="I357" s="7"/>
      <c r="J357" s="43"/>
      <c r="K357" s="43"/>
      <c r="L357" s="7"/>
    </row>
    <row r="358" spans="1:12" x14ac:dyDescent="0.25">
      <c r="A358" s="7"/>
      <c r="B358" s="7"/>
      <c r="C358" s="7"/>
      <c r="D358" s="100"/>
      <c r="E358" s="100"/>
      <c r="F358" s="7"/>
      <c r="G358" s="43"/>
      <c r="H358" s="43"/>
      <c r="I358" s="7"/>
      <c r="J358" s="43"/>
      <c r="K358" s="43"/>
      <c r="L358" s="7"/>
    </row>
    <row r="359" spans="1:12" x14ac:dyDescent="0.25">
      <c r="A359" s="7"/>
      <c r="B359" s="7"/>
      <c r="C359" s="7"/>
      <c r="D359" s="100"/>
      <c r="E359" s="100"/>
      <c r="F359" s="7"/>
      <c r="G359" s="43"/>
      <c r="H359" s="43"/>
      <c r="I359" s="7"/>
      <c r="J359" s="43"/>
      <c r="K359" s="43"/>
      <c r="L359" s="7"/>
    </row>
    <row r="360" spans="1:12" x14ac:dyDescent="0.25">
      <c r="A360" s="7"/>
      <c r="B360" s="7"/>
      <c r="C360" s="7"/>
      <c r="D360" s="100"/>
      <c r="E360" s="100"/>
      <c r="F360" s="7"/>
      <c r="G360" s="43"/>
      <c r="H360" s="43"/>
      <c r="I360" s="7"/>
      <c r="J360" s="43"/>
      <c r="K360" s="43"/>
      <c r="L360" s="7"/>
    </row>
    <row r="361" spans="1:12" x14ac:dyDescent="0.25">
      <c r="A361" s="7"/>
      <c r="B361" s="7"/>
      <c r="C361" s="7"/>
      <c r="D361" s="100"/>
      <c r="E361" s="100"/>
      <c r="F361" s="7"/>
      <c r="G361" s="43"/>
      <c r="H361" s="43"/>
      <c r="I361" s="7"/>
      <c r="J361" s="43"/>
      <c r="K361" s="43"/>
      <c r="L361" s="7"/>
    </row>
    <row r="362" spans="1:12" x14ac:dyDescent="0.25">
      <c r="A362" s="7"/>
      <c r="B362" s="7"/>
      <c r="C362" s="7"/>
      <c r="D362" s="100"/>
      <c r="E362" s="100"/>
      <c r="F362" s="7"/>
      <c r="G362" s="43"/>
      <c r="H362" s="43"/>
      <c r="I362" s="7"/>
      <c r="J362" s="43"/>
      <c r="K362" s="43"/>
      <c r="L362" s="7"/>
    </row>
    <row r="363" spans="1:12" x14ac:dyDescent="0.25">
      <c r="A363" s="7"/>
      <c r="B363" s="7"/>
      <c r="C363" s="7"/>
      <c r="D363" s="100"/>
      <c r="E363" s="100"/>
      <c r="F363" s="7"/>
      <c r="G363" s="43"/>
      <c r="H363" s="43"/>
      <c r="I363" s="7"/>
      <c r="J363" s="43"/>
      <c r="K363" s="43"/>
      <c r="L363" s="7"/>
    </row>
    <row r="364" spans="1:12" x14ac:dyDescent="0.25">
      <c r="A364" s="7"/>
      <c r="B364" s="7"/>
      <c r="C364" s="7"/>
      <c r="D364" s="100"/>
      <c r="E364" s="100"/>
      <c r="F364" s="7"/>
      <c r="G364" s="43"/>
      <c r="H364" s="43"/>
      <c r="I364" s="7"/>
      <c r="J364" s="43"/>
      <c r="K364" s="43"/>
      <c r="L364" s="7"/>
    </row>
    <row r="365" spans="1:12" x14ac:dyDescent="0.25">
      <c r="A365" s="7"/>
      <c r="B365" s="7"/>
      <c r="C365" s="7"/>
      <c r="D365" s="100"/>
      <c r="E365" s="100"/>
      <c r="F365" s="7"/>
      <c r="G365" s="43"/>
      <c r="H365" s="43"/>
      <c r="I365" s="7"/>
      <c r="J365" s="43"/>
      <c r="K365" s="43"/>
      <c r="L365" s="7"/>
    </row>
    <row r="366" spans="1:12" x14ac:dyDescent="0.25">
      <c r="A366" s="7"/>
      <c r="B366" s="7"/>
      <c r="C366" s="7"/>
      <c r="D366" s="100"/>
      <c r="E366" s="100"/>
      <c r="F366" s="7"/>
      <c r="G366" s="43"/>
      <c r="H366" s="43"/>
      <c r="I366" s="7"/>
      <c r="J366" s="43"/>
      <c r="K366" s="43"/>
      <c r="L366" s="7"/>
    </row>
    <row r="367" spans="1:12" x14ac:dyDescent="0.25">
      <c r="A367" s="7"/>
      <c r="B367" s="7"/>
      <c r="C367" s="7"/>
      <c r="D367" s="100"/>
      <c r="E367" s="100"/>
      <c r="F367" s="7"/>
      <c r="G367" s="43"/>
      <c r="H367" s="43"/>
      <c r="I367" s="7"/>
      <c r="J367" s="43"/>
      <c r="K367" s="43"/>
      <c r="L367" s="7"/>
    </row>
    <row r="368" spans="1:12" x14ac:dyDescent="0.25">
      <c r="A368" s="7"/>
      <c r="B368" s="7"/>
      <c r="C368" s="7"/>
      <c r="D368" s="100"/>
      <c r="E368" s="100"/>
      <c r="F368" s="7"/>
      <c r="G368" s="43"/>
      <c r="H368" s="43"/>
      <c r="I368" s="7"/>
      <c r="J368" s="43"/>
      <c r="K368" s="43"/>
      <c r="L368" s="7"/>
    </row>
    <row r="369" spans="1:12" x14ac:dyDescent="0.25">
      <c r="A369" s="7"/>
      <c r="B369" s="7"/>
      <c r="C369" s="7"/>
      <c r="D369" s="100"/>
      <c r="E369" s="100"/>
      <c r="F369" s="7"/>
      <c r="G369" s="43"/>
      <c r="H369" s="43"/>
      <c r="I369" s="7"/>
      <c r="J369" s="43"/>
      <c r="K369" s="43"/>
      <c r="L369" s="7"/>
    </row>
    <row r="370" spans="1:12" x14ac:dyDescent="0.25">
      <c r="A370" s="7"/>
      <c r="B370" s="7"/>
      <c r="C370" s="7"/>
      <c r="D370" s="100"/>
      <c r="E370" s="100"/>
      <c r="F370" s="7"/>
      <c r="G370" s="43"/>
      <c r="H370" s="43"/>
      <c r="I370" s="7"/>
      <c r="J370" s="43"/>
      <c r="K370" s="43"/>
      <c r="L370" s="7"/>
    </row>
    <row r="371" spans="1:12" x14ac:dyDescent="0.25">
      <c r="A371" s="7"/>
      <c r="B371" s="7"/>
      <c r="C371" s="7"/>
      <c r="D371" s="100"/>
      <c r="E371" s="100"/>
      <c r="F371" s="7"/>
      <c r="G371" s="43"/>
      <c r="H371" s="43"/>
      <c r="I371" s="7"/>
      <c r="J371" s="43"/>
      <c r="K371" s="43"/>
      <c r="L371" s="7"/>
    </row>
    <row r="372" spans="1:12" x14ac:dyDescent="0.25">
      <c r="A372" s="7"/>
      <c r="B372" s="7"/>
      <c r="C372" s="7"/>
      <c r="D372" s="100"/>
      <c r="E372" s="100"/>
      <c r="F372" s="7"/>
      <c r="G372" s="43"/>
      <c r="H372" s="43"/>
      <c r="I372" s="7"/>
      <c r="J372" s="43"/>
      <c r="K372" s="43"/>
      <c r="L372" s="7"/>
    </row>
    <row r="373" spans="1:12" x14ac:dyDescent="0.25">
      <c r="A373" s="7"/>
      <c r="B373" s="7"/>
      <c r="C373" s="7"/>
      <c r="D373" s="100"/>
      <c r="E373" s="100"/>
      <c r="F373" s="7"/>
      <c r="G373" s="43"/>
      <c r="H373" s="43"/>
      <c r="I373" s="7"/>
      <c r="J373" s="43"/>
      <c r="K373" s="43"/>
      <c r="L373" s="7"/>
    </row>
    <row r="374" spans="1:12" x14ac:dyDescent="0.25">
      <c r="A374" s="7"/>
      <c r="B374" s="7"/>
      <c r="C374" s="7"/>
      <c r="D374" s="100"/>
      <c r="E374" s="100"/>
      <c r="F374" s="7"/>
      <c r="G374" s="43"/>
      <c r="H374" s="43"/>
      <c r="I374" s="7"/>
      <c r="J374" s="43"/>
      <c r="K374" s="43"/>
      <c r="L374" s="7"/>
    </row>
    <row r="375" spans="1:12" x14ac:dyDescent="0.25">
      <c r="A375" s="7"/>
      <c r="B375" s="7"/>
      <c r="C375" s="7"/>
      <c r="D375" s="100"/>
      <c r="E375" s="100"/>
      <c r="F375" s="7"/>
      <c r="G375" s="43"/>
      <c r="H375" s="43"/>
      <c r="I375" s="7"/>
      <c r="J375" s="43"/>
      <c r="K375" s="43"/>
      <c r="L375" s="7"/>
    </row>
    <row r="376" spans="1:12" x14ac:dyDescent="0.25">
      <c r="A376" s="7"/>
      <c r="B376" s="7"/>
      <c r="C376" s="7"/>
      <c r="D376" s="100"/>
      <c r="E376" s="100"/>
      <c r="F376" s="7"/>
      <c r="G376" s="43"/>
      <c r="H376" s="43"/>
      <c r="I376" s="7"/>
      <c r="J376" s="43"/>
      <c r="K376" s="43"/>
      <c r="L376" s="7"/>
    </row>
    <row r="377" spans="1:12" x14ac:dyDescent="0.25">
      <c r="A377" s="7"/>
      <c r="B377" s="7"/>
      <c r="C377" s="7"/>
      <c r="D377" s="100"/>
      <c r="E377" s="100"/>
      <c r="F377" s="7"/>
      <c r="G377" s="43"/>
      <c r="H377" s="43"/>
      <c r="I377" s="7"/>
      <c r="J377" s="43"/>
      <c r="K377" s="43"/>
      <c r="L377" s="7"/>
    </row>
    <row r="378" spans="1:12" x14ac:dyDescent="0.25">
      <c r="A378" s="7"/>
      <c r="B378" s="7"/>
      <c r="C378" s="7"/>
      <c r="D378" s="100"/>
      <c r="E378" s="100"/>
      <c r="F378" s="7"/>
      <c r="G378" s="43"/>
      <c r="H378" s="43"/>
      <c r="I378" s="7"/>
      <c r="J378" s="43"/>
      <c r="K378" s="43"/>
      <c r="L378" s="7"/>
    </row>
    <row r="379" spans="1:12" x14ac:dyDescent="0.25">
      <c r="A379" s="7"/>
      <c r="B379" s="7"/>
      <c r="C379" s="7"/>
      <c r="D379" s="100"/>
      <c r="E379" s="100"/>
      <c r="F379" s="7"/>
      <c r="G379" s="43"/>
      <c r="H379" s="43"/>
      <c r="I379" s="7"/>
      <c r="J379" s="43"/>
      <c r="K379" s="43"/>
      <c r="L379" s="7"/>
    </row>
    <row r="380" spans="1:12" x14ac:dyDescent="0.25">
      <c r="A380" s="7"/>
      <c r="B380" s="7"/>
      <c r="C380" s="7"/>
      <c r="D380" s="100"/>
      <c r="E380" s="100"/>
      <c r="F380" s="7"/>
      <c r="G380" s="43"/>
      <c r="H380" s="43"/>
      <c r="I380" s="7"/>
      <c r="J380" s="43"/>
      <c r="K380" s="43"/>
      <c r="L380" s="7"/>
    </row>
    <row r="381" spans="1:12" x14ac:dyDescent="0.25">
      <c r="A381" s="7"/>
      <c r="B381" s="7"/>
      <c r="C381" s="7"/>
      <c r="D381" s="100"/>
      <c r="E381" s="100"/>
      <c r="F381" s="7"/>
      <c r="G381" s="43"/>
      <c r="H381" s="43"/>
      <c r="I381" s="7"/>
      <c r="J381" s="43"/>
      <c r="K381" s="43"/>
      <c r="L381" s="7"/>
    </row>
    <row r="382" spans="1:12" x14ac:dyDescent="0.25">
      <c r="A382" s="7"/>
      <c r="B382" s="7"/>
      <c r="C382" s="7"/>
      <c r="D382" s="100"/>
      <c r="E382" s="100"/>
      <c r="F382" s="7"/>
      <c r="G382" s="43"/>
      <c r="H382" s="43"/>
      <c r="I382" s="7"/>
      <c r="J382" s="43"/>
      <c r="K382" s="43"/>
      <c r="L382" s="7"/>
    </row>
    <row r="383" spans="1:12" x14ac:dyDescent="0.25">
      <c r="A383" s="7"/>
      <c r="B383" s="7"/>
      <c r="C383" s="7"/>
      <c r="D383" s="100"/>
      <c r="E383" s="100"/>
      <c r="F383" s="7"/>
      <c r="G383" s="43"/>
      <c r="H383" s="43"/>
      <c r="I383" s="7"/>
      <c r="J383" s="43"/>
      <c r="K383" s="43"/>
      <c r="L383" s="7"/>
    </row>
    <row r="384" spans="1:12" x14ac:dyDescent="0.25">
      <c r="A384" s="7"/>
      <c r="B384" s="7"/>
      <c r="C384" s="7"/>
      <c r="D384" s="100"/>
      <c r="E384" s="100"/>
      <c r="F384" s="7"/>
      <c r="G384" s="43"/>
      <c r="H384" s="43"/>
      <c r="I384" s="7"/>
      <c r="J384" s="43"/>
      <c r="K384" s="43"/>
      <c r="L384" s="7"/>
    </row>
    <row r="385" spans="1:12" x14ac:dyDescent="0.25">
      <c r="A385" s="7"/>
      <c r="B385" s="7"/>
      <c r="C385" s="7"/>
      <c r="D385" s="100"/>
      <c r="E385" s="100"/>
      <c r="F385" s="7"/>
      <c r="G385" s="43"/>
      <c r="H385" s="43"/>
      <c r="I385" s="7"/>
      <c r="J385" s="43"/>
      <c r="K385" s="43"/>
      <c r="L385" s="7"/>
    </row>
    <row r="386" spans="1:12" x14ac:dyDescent="0.25">
      <c r="A386" s="7"/>
      <c r="B386" s="7"/>
      <c r="C386" s="7"/>
      <c r="D386" s="100"/>
      <c r="E386" s="100"/>
      <c r="F386" s="7"/>
      <c r="G386" s="43"/>
      <c r="H386" s="43"/>
      <c r="I386" s="7"/>
      <c r="J386" s="43"/>
      <c r="K386" s="43"/>
      <c r="L386" s="7"/>
    </row>
    <row r="387" spans="1:12" x14ac:dyDescent="0.25">
      <c r="A387" s="7"/>
      <c r="B387" s="7"/>
      <c r="C387" s="7"/>
      <c r="D387" s="100"/>
      <c r="E387" s="100"/>
      <c r="F387" s="7"/>
      <c r="G387" s="43"/>
      <c r="H387" s="43"/>
      <c r="I387" s="7"/>
      <c r="J387" s="43"/>
      <c r="K387" s="43"/>
      <c r="L387" s="7"/>
    </row>
    <row r="388" spans="1:12" x14ac:dyDescent="0.25">
      <c r="A388" s="7"/>
      <c r="B388" s="7"/>
      <c r="C388" s="7"/>
      <c r="D388" s="100"/>
      <c r="E388" s="100"/>
      <c r="F388" s="7"/>
      <c r="G388" s="43"/>
      <c r="H388" s="43"/>
      <c r="I388" s="7"/>
      <c r="J388" s="43"/>
      <c r="K388" s="43"/>
      <c r="L388" s="7"/>
    </row>
    <row r="389" spans="1:12" x14ac:dyDescent="0.25">
      <c r="A389" s="7"/>
      <c r="B389" s="7"/>
      <c r="C389" s="7"/>
      <c r="D389" s="100"/>
      <c r="E389" s="100"/>
      <c r="F389" s="7"/>
      <c r="G389" s="43"/>
      <c r="H389" s="43"/>
      <c r="I389" s="7"/>
      <c r="J389" s="43"/>
      <c r="K389" s="43"/>
      <c r="L389" s="7"/>
    </row>
    <row r="390" spans="1:12" x14ac:dyDescent="0.25">
      <c r="A390" s="7"/>
      <c r="B390" s="7"/>
      <c r="C390" s="7"/>
      <c r="D390" s="100"/>
      <c r="E390" s="100"/>
      <c r="F390" s="7"/>
      <c r="G390" s="43"/>
      <c r="H390" s="43"/>
      <c r="I390" s="7"/>
      <c r="J390" s="43"/>
      <c r="K390" s="43"/>
      <c r="L390" s="7"/>
    </row>
    <row r="391" spans="1:12" x14ac:dyDescent="0.25">
      <c r="A391" s="7"/>
      <c r="B391" s="7"/>
      <c r="C391" s="7"/>
      <c r="D391" s="100"/>
      <c r="E391" s="100"/>
      <c r="F391" s="7"/>
      <c r="G391" s="43"/>
      <c r="H391" s="43"/>
      <c r="I391" s="7"/>
      <c r="J391" s="43"/>
      <c r="K391" s="43"/>
      <c r="L391" s="7"/>
    </row>
    <row r="392" spans="1:12" x14ac:dyDescent="0.25">
      <c r="A392" s="7"/>
      <c r="B392" s="7"/>
      <c r="C392" s="7"/>
      <c r="D392" s="100"/>
      <c r="E392" s="100"/>
      <c r="F392" s="7"/>
      <c r="G392" s="43"/>
      <c r="H392" s="43"/>
      <c r="I392" s="7"/>
      <c r="J392" s="43"/>
      <c r="K392" s="43"/>
      <c r="L392" s="7"/>
    </row>
    <row r="393" spans="1:12" x14ac:dyDescent="0.25">
      <c r="A393" s="7"/>
      <c r="B393" s="7"/>
      <c r="C393" s="7"/>
      <c r="D393" s="100"/>
      <c r="E393" s="100"/>
      <c r="F393" s="7"/>
      <c r="G393" s="43"/>
      <c r="H393" s="43"/>
      <c r="I393" s="7"/>
      <c r="J393" s="43"/>
      <c r="K393" s="43"/>
      <c r="L393" s="7"/>
    </row>
    <row r="394" spans="1:12" x14ac:dyDescent="0.25">
      <c r="A394" s="7"/>
      <c r="B394" s="7"/>
      <c r="C394" s="7"/>
      <c r="D394" s="100"/>
      <c r="E394" s="100"/>
      <c r="F394" s="7"/>
      <c r="G394" s="43"/>
      <c r="H394" s="43"/>
      <c r="I394" s="7"/>
      <c r="J394" s="43"/>
      <c r="K394" s="43"/>
      <c r="L394" s="7"/>
    </row>
    <row r="395" spans="1:12" x14ac:dyDescent="0.25">
      <c r="A395" s="7"/>
      <c r="B395" s="7"/>
      <c r="C395" s="7"/>
      <c r="D395" s="100"/>
      <c r="E395" s="100"/>
      <c r="F395" s="7"/>
      <c r="G395" s="43"/>
      <c r="H395" s="43"/>
      <c r="I395" s="7"/>
      <c r="J395" s="43"/>
      <c r="K395" s="43"/>
      <c r="L395" s="7"/>
    </row>
    <row r="396" spans="1:12" x14ac:dyDescent="0.25">
      <c r="A396" s="7"/>
      <c r="B396" s="7"/>
      <c r="C396" s="7"/>
      <c r="D396" s="100"/>
      <c r="E396" s="100"/>
      <c r="F396" s="7"/>
      <c r="G396" s="43"/>
      <c r="H396" s="43"/>
      <c r="I396" s="7"/>
      <c r="J396" s="43"/>
      <c r="K396" s="43"/>
      <c r="L396" s="7"/>
    </row>
    <row r="397" spans="1:12" x14ac:dyDescent="0.25">
      <c r="A397" s="7"/>
      <c r="B397" s="7"/>
      <c r="C397" s="7"/>
      <c r="D397" s="100"/>
      <c r="E397" s="100"/>
      <c r="F397" s="7"/>
      <c r="G397" s="43"/>
      <c r="H397" s="43"/>
      <c r="I397" s="7"/>
      <c r="J397" s="43"/>
      <c r="K397" s="43"/>
      <c r="L397" s="7"/>
    </row>
    <row r="398" spans="1:12" x14ac:dyDescent="0.25">
      <c r="A398" s="7"/>
      <c r="B398" s="7"/>
      <c r="C398" s="7"/>
      <c r="D398" s="100"/>
      <c r="E398" s="100"/>
      <c r="F398" s="7"/>
      <c r="G398" s="43"/>
      <c r="H398" s="43"/>
      <c r="I398" s="7"/>
      <c r="J398" s="43"/>
      <c r="K398" s="43"/>
      <c r="L398" s="7"/>
    </row>
    <row r="399" spans="1:12" x14ac:dyDescent="0.25">
      <c r="A399" s="7"/>
      <c r="B399" s="7"/>
      <c r="C399" s="7"/>
      <c r="D399" s="100"/>
      <c r="E399" s="100"/>
      <c r="F399" s="7"/>
      <c r="G399" s="43"/>
      <c r="H399" s="43"/>
      <c r="I399" s="7"/>
      <c r="J399" s="43"/>
      <c r="K399" s="43"/>
      <c r="L399" s="7"/>
    </row>
    <row r="400" spans="1:12" x14ac:dyDescent="0.25">
      <c r="A400" s="7"/>
      <c r="B400" s="7"/>
      <c r="C400" s="7"/>
      <c r="D400" s="100"/>
      <c r="E400" s="100"/>
      <c r="F400" s="7"/>
      <c r="G400" s="43"/>
      <c r="H400" s="43"/>
      <c r="I400" s="7"/>
      <c r="J400" s="43"/>
      <c r="K400" s="43"/>
      <c r="L400" s="7"/>
    </row>
    <row r="401" spans="1:12" x14ac:dyDescent="0.25">
      <c r="A401" s="7"/>
      <c r="B401" s="7"/>
      <c r="C401" s="7"/>
      <c r="D401" s="100"/>
      <c r="E401" s="100"/>
      <c r="F401" s="7"/>
      <c r="G401" s="43"/>
      <c r="H401" s="43"/>
      <c r="I401" s="7"/>
      <c r="J401" s="43"/>
      <c r="K401" s="43"/>
      <c r="L401" s="7"/>
    </row>
    <row r="402" spans="1:12" x14ac:dyDescent="0.25">
      <c r="A402" s="7"/>
      <c r="B402" s="7"/>
      <c r="C402" s="7"/>
      <c r="D402" s="100"/>
      <c r="E402" s="100"/>
      <c r="F402" s="7"/>
      <c r="G402" s="43"/>
      <c r="H402" s="43"/>
      <c r="I402" s="7"/>
      <c r="J402" s="43"/>
      <c r="K402" s="43"/>
      <c r="L402" s="7"/>
    </row>
    <row r="403" spans="1:12" x14ac:dyDescent="0.25">
      <c r="A403" s="7"/>
      <c r="B403" s="7"/>
      <c r="C403" s="7"/>
      <c r="D403" s="100"/>
      <c r="E403" s="100"/>
      <c r="F403" s="7"/>
      <c r="G403" s="43"/>
      <c r="H403" s="43"/>
      <c r="I403" s="7"/>
      <c r="J403" s="43"/>
      <c r="K403" s="43"/>
      <c r="L403" s="7"/>
    </row>
    <row r="404" spans="1:12" x14ac:dyDescent="0.25">
      <c r="A404" s="7"/>
      <c r="B404" s="7"/>
      <c r="C404" s="7"/>
      <c r="D404" s="100"/>
      <c r="E404" s="100"/>
      <c r="F404" s="7"/>
      <c r="G404" s="43"/>
      <c r="H404" s="43"/>
      <c r="I404" s="7"/>
      <c r="J404" s="43"/>
      <c r="K404" s="43"/>
      <c r="L404" s="7"/>
    </row>
    <row r="405" spans="1:12" x14ac:dyDescent="0.25">
      <c r="A405" s="7"/>
      <c r="B405" s="7"/>
      <c r="C405" s="7"/>
      <c r="D405" s="100"/>
      <c r="E405" s="100"/>
      <c r="F405" s="7"/>
      <c r="G405" s="43"/>
      <c r="H405" s="43"/>
      <c r="I405" s="7"/>
      <c r="J405" s="43"/>
      <c r="K405" s="43"/>
      <c r="L405" s="7"/>
    </row>
    <row r="406" spans="1:12" x14ac:dyDescent="0.25">
      <c r="A406" s="7"/>
      <c r="B406" s="7"/>
      <c r="C406" s="7"/>
      <c r="D406" s="100"/>
      <c r="E406" s="100"/>
      <c r="F406" s="7"/>
      <c r="G406" s="43"/>
      <c r="H406" s="43"/>
      <c r="I406" s="7"/>
      <c r="J406" s="43"/>
      <c r="K406" s="43"/>
      <c r="L406" s="7"/>
    </row>
    <row r="407" spans="1:12" x14ac:dyDescent="0.25">
      <c r="A407" s="7"/>
      <c r="B407" s="7"/>
      <c r="C407" s="7"/>
      <c r="D407" s="100"/>
      <c r="E407" s="100"/>
      <c r="F407" s="7"/>
      <c r="G407" s="43"/>
      <c r="H407" s="43"/>
      <c r="I407" s="7"/>
      <c r="J407" s="43"/>
      <c r="K407" s="43"/>
      <c r="L407" s="7"/>
    </row>
    <row r="408" spans="1:12" x14ac:dyDescent="0.25">
      <c r="A408" s="7"/>
      <c r="B408" s="7"/>
      <c r="C408" s="7"/>
      <c r="D408" s="100"/>
      <c r="E408" s="100"/>
      <c r="F408" s="7"/>
      <c r="G408" s="43"/>
      <c r="H408" s="43"/>
      <c r="I408" s="7"/>
      <c r="J408" s="43"/>
      <c r="K408" s="43"/>
      <c r="L408" s="7"/>
    </row>
    <row r="409" spans="1:12" x14ac:dyDescent="0.25">
      <c r="A409" s="7"/>
      <c r="B409" s="7"/>
      <c r="C409" s="7"/>
      <c r="D409" s="100"/>
      <c r="E409" s="100"/>
      <c r="F409" s="7"/>
      <c r="G409" s="43"/>
      <c r="H409" s="43"/>
      <c r="I409" s="7"/>
      <c r="J409" s="43"/>
      <c r="K409" s="43"/>
      <c r="L409" s="7"/>
    </row>
    <row r="410" spans="1:12" x14ac:dyDescent="0.25">
      <c r="A410" s="7"/>
      <c r="B410" s="7"/>
      <c r="C410" s="7"/>
      <c r="D410" s="100"/>
      <c r="E410" s="100"/>
      <c r="F410" s="7"/>
      <c r="G410" s="43"/>
      <c r="H410" s="43"/>
      <c r="I410" s="7"/>
      <c r="J410" s="43"/>
      <c r="K410" s="43"/>
      <c r="L410" s="7"/>
    </row>
    <row r="411" spans="1:12" x14ac:dyDescent="0.25">
      <c r="A411" s="7"/>
      <c r="B411" s="7"/>
      <c r="C411" s="7"/>
      <c r="D411" s="100"/>
      <c r="E411" s="100"/>
      <c r="F411" s="7"/>
      <c r="G411" s="43"/>
      <c r="H411" s="43"/>
      <c r="I411" s="7"/>
      <c r="J411" s="43"/>
      <c r="K411" s="43"/>
      <c r="L411" s="7"/>
    </row>
    <row r="412" spans="1:12" x14ac:dyDescent="0.25">
      <c r="A412" s="7"/>
      <c r="B412" s="7"/>
      <c r="C412" s="7"/>
      <c r="D412" s="100"/>
      <c r="E412" s="100"/>
      <c r="F412" s="7"/>
      <c r="G412" s="43"/>
      <c r="H412" s="43"/>
      <c r="I412" s="7"/>
      <c r="J412" s="43"/>
      <c r="K412" s="43"/>
      <c r="L412" s="7"/>
    </row>
    <row r="413" spans="1:12" x14ac:dyDescent="0.25">
      <c r="A413" s="7"/>
      <c r="B413" s="7"/>
      <c r="C413" s="7"/>
      <c r="D413" s="100"/>
      <c r="E413" s="100"/>
      <c r="F413" s="7"/>
      <c r="G413" s="43"/>
      <c r="H413" s="43"/>
      <c r="I413" s="7"/>
      <c r="J413" s="43"/>
      <c r="K413" s="43"/>
      <c r="L413" s="7"/>
    </row>
    <row r="414" spans="1:12" x14ac:dyDescent="0.25">
      <c r="A414" s="7"/>
      <c r="B414" s="7"/>
      <c r="C414" s="7"/>
      <c r="D414" s="100"/>
      <c r="E414" s="100"/>
      <c r="F414" s="7"/>
      <c r="G414" s="43"/>
      <c r="H414" s="43"/>
      <c r="I414" s="7"/>
      <c r="J414" s="43"/>
      <c r="K414" s="43"/>
      <c r="L414" s="7"/>
    </row>
    <row r="415" spans="1:12" x14ac:dyDescent="0.25">
      <c r="A415" s="7"/>
      <c r="B415" s="7"/>
      <c r="C415" s="7"/>
      <c r="D415" s="100"/>
      <c r="E415" s="100"/>
      <c r="F415" s="7"/>
      <c r="G415" s="43"/>
      <c r="H415" s="43"/>
      <c r="I415" s="7"/>
      <c r="J415" s="43"/>
      <c r="K415" s="43"/>
      <c r="L415" s="7"/>
    </row>
    <row r="416" spans="1:12" x14ac:dyDescent="0.25">
      <c r="A416" s="7"/>
      <c r="B416" s="7"/>
      <c r="C416" s="7"/>
      <c r="D416" s="100"/>
      <c r="E416" s="100"/>
      <c r="F416" s="7"/>
      <c r="G416" s="43"/>
      <c r="H416" s="43"/>
      <c r="I416" s="7"/>
      <c r="J416" s="43"/>
      <c r="K416" s="43"/>
      <c r="L416" s="7"/>
    </row>
    <row r="417" spans="1:12" x14ac:dyDescent="0.25">
      <c r="A417" s="7"/>
      <c r="B417" s="7"/>
      <c r="C417" s="7"/>
      <c r="D417" s="100"/>
      <c r="E417" s="100"/>
      <c r="F417" s="7"/>
      <c r="G417" s="43"/>
      <c r="H417" s="43"/>
      <c r="I417" s="7"/>
      <c r="J417" s="43"/>
      <c r="K417" s="43"/>
      <c r="L417" s="7"/>
    </row>
    <row r="418" spans="1:12" x14ac:dyDescent="0.25">
      <c r="A418" s="7"/>
      <c r="B418" s="7"/>
      <c r="C418" s="7"/>
      <c r="D418" s="100"/>
      <c r="E418" s="100"/>
      <c r="F418" s="7"/>
      <c r="G418" s="43"/>
      <c r="H418" s="43"/>
      <c r="I418" s="7"/>
      <c r="J418" s="43"/>
      <c r="K418" s="43"/>
      <c r="L418" s="7"/>
    </row>
    <row r="419" spans="1:12" x14ac:dyDescent="0.25">
      <c r="A419" s="7"/>
      <c r="B419" s="7"/>
      <c r="C419" s="7"/>
      <c r="D419" s="100"/>
      <c r="E419" s="100"/>
      <c r="F419" s="7"/>
      <c r="G419" s="7"/>
      <c r="H419" s="7"/>
      <c r="I419" s="7"/>
      <c r="J419" s="43"/>
      <c r="K419" s="43"/>
      <c r="L419" s="7"/>
    </row>
    <row r="420" spans="1:12" x14ac:dyDescent="0.25">
      <c r="A420" s="7"/>
      <c r="B420" s="7"/>
      <c r="C420" s="7"/>
      <c r="D420" s="100"/>
      <c r="E420" s="100"/>
      <c r="F420" s="7"/>
      <c r="G420" s="43"/>
      <c r="H420" s="43"/>
      <c r="I420" s="7"/>
      <c r="J420" s="43"/>
      <c r="K420" s="43"/>
      <c r="L420" s="7"/>
    </row>
    <row r="421" spans="1:12" x14ac:dyDescent="0.25">
      <c r="A421" s="7"/>
      <c r="B421" s="7"/>
      <c r="C421" s="7"/>
      <c r="D421" s="100"/>
      <c r="E421" s="100"/>
      <c r="F421" s="7"/>
      <c r="G421" s="43"/>
      <c r="H421" s="43"/>
      <c r="I421" s="7"/>
      <c r="J421" s="43"/>
      <c r="K421" s="43"/>
      <c r="L421" s="7"/>
    </row>
    <row r="422" spans="1:12" x14ac:dyDescent="0.25">
      <c r="A422" s="7"/>
      <c r="B422" s="7"/>
      <c r="C422" s="7"/>
      <c r="D422" s="100"/>
      <c r="E422" s="100"/>
      <c r="F422" s="7"/>
      <c r="G422" s="43"/>
      <c r="H422" s="43"/>
      <c r="I422" s="7"/>
      <c r="J422" s="43"/>
      <c r="K422" s="43"/>
      <c r="L422" s="7"/>
    </row>
    <row r="423" spans="1:12" x14ac:dyDescent="0.25">
      <c r="A423" s="7"/>
      <c r="B423" s="7"/>
      <c r="C423" s="7"/>
      <c r="D423" s="100"/>
      <c r="E423" s="100"/>
      <c r="F423" s="7"/>
      <c r="G423" s="43"/>
      <c r="H423" s="43"/>
      <c r="I423" s="7"/>
      <c r="J423" s="43"/>
      <c r="K423" s="43"/>
      <c r="L423" s="7"/>
    </row>
    <row r="424" spans="1:12" x14ac:dyDescent="0.25">
      <c r="A424" s="7"/>
      <c r="B424" s="7"/>
      <c r="C424" s="7"/>
      <c r="D424" s="100"/>
      <c r="E424" s="100"/>
      <c r="F424" s="7"/>
      <c r="G424" s="43"/>
      <c r="H424" s="43"/>
      <c r="I424" s="7"/>
      <c r="J424" s="43"/>
      <c r="K424" s="43"/>
      <c r="L424" s="7"/>
    </row>
    <row r="425" spans="1:12" x14ac:dyDescent="0.25">
      <c r="A425" s="7"/>
      <c r="B425" s="7"/>
      <c r="C425" s="7"/>
      <c r="D425" s="100"/>
      <c r="E425" s="100"/>
      <c r="F425" s="7"/>
      <c r="G425" s="43"/>
      <c r="H425" s="43"/>
      <c r="I425" s="7"/>
      <c r="J425" s="43"/>
      <c r="K425" s="43"/>
      <c r="L425" s="7"/>
    </row>
    <row r="426" spans="1:12" x14ac:dyDescent="0.25">
      <c r="A426" s="7"/>
      <c r="B426" s="7"/>
      <c r="C426" s="7"/>
      <c r="D426" s="100"/>
      <c r="E426" s="100"/>
      <c r="F426" s="7"/>
      <c r="G426" s="7"/>
      <c r="H426" s="7"/>
      <c r="I426" s="7"/>
      <c r="J426" s="43"/>
      <c r="K426" s="43"/>
      <c r="L426" s="7"/>
    </row>
    <row r="427" spans="1:12" x14ac:dyDescent="0.25">
      <c r="A427" s="7"/>
      <c r="B427" s="7"/>
      <c r="C427" s="7"/>
      <c r="D427" s="100"/>
      <c r="E427" s="100"/>
      <c r="F427" s="7"/>
      <c r="G427" s="7"/>
      <c r="H427" s="7"/>
      <c r="I427" s="7"/>
      <c r="J427" s="43"/>
      <c r="K427" s="43"/>
      <c r="L427" s="7"/>
    </row>
    <row r="428" spans="1:12" x14ac:dyDescent="0.25">
      <c r="A428" s="7"/>
      <c r="B428" s="7"/>
      <c r="C428" s="7"/>
      <c r="D428" s="100"/>
      <c r="E428" s="100"/>
      <c r="F428" s="7"/>
      <c r="G428" s="7"/>
      <c r="H428" s="7"/>
      <c r="I428" s="7"/>
      <c r="J428" s="43"/>
      <c r="K428" s="43"/>
      <c r="L428" s="7"/>
    </row>
    <row r="429" spans="1:12" x14ac:dyDescent="0.25">
      <c r="A429" s="7"/>
      <c r="B429" s="7"/>
      <c r="C429" s="7"/>
      <c r="D429" s="100"/>
      <c r="E429" s="100"/>
      <c r="F429" s="7"/>
      <c r="G429" s="7"/>
      <c r="H429" s="7"/>
      <c r="I429" s="7"/>
      <c r="J429" s="43"/>
      <c r="K429" s="43"/>
      <c r="L429" s="7"/>
    </row>
    <row r="430" spans="1:12" x14ac:dyDescent="0.25">
      <c r="A430" s="7"/>
      <c r="B430" s="7"/>
      <c r="C430" s="7"/>
      <c r="D430" s="100"/>
      <c r="E430" s="100"/>
      <c r="F430" s="7"/>
      <c r="G430" s="7"/>
      <c r="H430" s="7"/>
      <c r="I430" s="7"/>
      <c r="J430" s="43"/>
      <c r="K430" s="43"/>
      <c r="L430" s="7"/>
    </row>
    <row r="431" spans="1:12" x14ac:dyDescent="0.25">
      <c r="A431" s="7"/>
      <c r="B431" s="7"/>
      <c r="C431" s="7"/>
      <c r="D431" s="100"/>
      <c r="E431" s="100"/>
      <c r="F431" s="7"/>
      <c r="G431" s="43"/>
      <c r="H431" s="43"/>
      <c r="I431" s="7"/>
      <c r="J431" s="43"/>
      <c r="K431" s="43"/>
      <c r="L431" s="7"/>
    </row>
    <row r="432" spans="1:12" x14ac:dyDescent="0.25">
      <c r="A432" s="7"/>
      <c r="B432" s="7"/>
      <c r="C432" s="7"/>
      <c r="D432" s="100"/>
      <c r="E432" s="100"/>
      <c r="F432" s="7"/>
      <c r="G432" s="7"/>
      <c r="H432" s="7"/>
      <c r="I432" s="7"/>
      <c r="J432" s="43"/>
      <c r="K432" s="43"/>
      <c r="L432" s="7"/>
    </row>
    <row r="433" spans="1:12" x14ac:dyDescent="0.25">
      <c r="A433" s="7"/>
      <c r="B433" s="7"/>
      <c r="C433" s="7"/>
      <c r="D433" s="100"/>
      <c r="E433" s="100"/>
      <c r="F433" s="7"/>
      <c r="G433" s="7"/>
      <c r="H433" s="7"/>
      <c r="I433" s="7"/>
      <c r="J433" s="43"/>
      <c r="K433" s="43"/>
      <c r="L433" s="7"/>
    </row>
    <row r="434" spans="1:12" x14ac:dyDescent="0.25">
      <c r="A434" s="7"/>
      <c r="B434" s="7"/>
      <c r="C434" s="7"/>
      <c r="D434" s="100"/>
      <c r="E434" s="100"/>
      <c r="F434" s="7"/>
      <c r="G434" s="7"/>
      <c r="H434" s="7"/>
      <c r="I434" s="7"/>
      <c r="J434" s="43"/>
      <c r="K434" s="43"/>
      <c r="L434" s="7"/>
    </row>
  </sheetData>
  <autoFilter ref="A70:AA244" xr:uid="{00000000-0009-0000-0000-000005000000}"/>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1" type="noConversion"/>
  <pageMargins left="0.7" right="0.7" top="0.78740157499999996" bottom="0.78740157499999996" header="0.3" footer="0.3"/>
  <pageSetup paperSize="9"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7"/>
  <sheetViews>
    <sheetView showGridLines="0" zoomScaleNormal="100" zoomScalePageLayoutView="50" workbookViewId="0">
      <pane ySplit="7" topLeftCell="A8" activePane="bottomLeft" state="frozen"/>
      <selection pane="bottomLeft" activeCell="A8" sqref="A8"/>
    </sheetView>
  </sheetViews>
  <sheetFormatPr defaultColWidth="11.42578125" defaultRowHeight="15" x14ac:dyDescent="0.25"/>
  <cols>
    <col min="1" max="1" width="34.7109375" style="564" customWidth="1"/>
    <col min="2" max="2" width="17.5703125" style="564" customWidth="1"/>
    <col min="3" max="3" width="40.85546875" style="564" customWidth="1"/>
    <col min="4" max="4" width="16.28515625" style="564" customWidth="1"/>
    <col min="5" max="10" width="10.7109375" style="564" customWidth="1"/>
    <col min="11" max="11" width="44.7109375" style="564" customWidth="1"/>
    <col min="12" max="12" width="11.42578125" style="564"/>
    <col min="13" max="13" width="11.42578125" style="564" hidden="1" customWidth="1"/>
    <col min="14" max="16" width="0" style="564" hidden="1" customWidth="1"/>
    <col min="17" max="16384" width="11.42578125" style="564"/>
  </cols>
  <sheetData>
    <row r="1" spans="1:16" ht="8.25" customHeight="1" x14ac:dyDescent="0.25">
      <c r="A1" s="12"/>
      <c r="B1" s="12"/>
      <c r="C1" s="12"/>
      <c r="D1" s="12"/>
      <c r="E1" s="12"/>
      <c r="F1" s="12"/>
      <c r="G1" s="12"/>
      <c r="H1" s="12"/>
      <c r="I1" s="12"/>
      <c r="J1" s="12"/>
      <c r="K1" s="12"/>
      <c r="L1" s="12"/>
      <c r="M1" s="12"/>
      <c r="N1" s="12"/>
      <c r="O1" s="12"/>
    </row>
    <row r="2" spans="1:16" x14ac:dyDescent="0.25">
      <c r="A2" s="504" t="str">
        <f>Basisdaten!B2</f>
        <v>Anlage EB Version P1.2 (Auditjahr 2025 / Kennzahlenjahr 2024)</v>
      </c>
      <c r="B2" s="12"/>
      <c r="C2" s="12"/>
      <c r="D2" s="12"/>
      <c r="E2" s="12"/>
      <c r="F2" s="12"/>
      <c r="G2" s="12"/>
      <c r="H2" s="12"/>
      <c r="I2" s="12"/>
      <c r="J2" s="12"/>
      <c r="K2" s="12"/>
      <c r="L2" s="12"/>
      <c r="M2" s="12"/>
      <c r="N2" s="12"/>
      <c r="O2" s="12"/>
    </row>
    <row r="3" spans="1:16" ht="15.75" x14ac:dyDescent="0.25">
      <c r="A3" s="565" t="s">
        <v>903</v>
      </c>
      <c r="B3" s="12"/>
      <c r="C3" s="12"/>
      <c r="D3" s="12"/>
      <c r="E3" s="12"/>
      <c r="F3" s="12"/>
      <c r="G3" s="12"/>
      <c r="H3" s="12"/>
      <c r="I3" s="12"/>
      <c r="J3" s="12"/>
      <c r="K3" s="12"/>
      <c r="L3" s="12"/>
      <c r="M3" s="12"/>
      <c r="N3" s="12"/>
      <c r="O3" s="12"/>
    </row>
    <row r="4" spans="1:16" ht="39" customHeight="1" x14ac:dyDescent="0.25">
      <c r="A4" s="654" t="s">
        <v>1169</v>
      </c>
      <c r="B4" s="654"/>
      <c r="C4" s="654"/>
      <c r="D4" s="654"/>
      <c r="E4" s="654"/>
      <c r="F4" s="654"/>
      <c r="G4" s="12"/>
      <c r="H4" s="12"/>
      <c r="I4" s="12"/>
      <c r="J4" s="12"/>
      <c r="K4" s="12"/>
      <c r="L4" s="12"/>
      <c r="M4" s="12"/>
      <c r="N4" s="12"/>
      <c r="O4" s="12"/>
    </row>
    <row r="5" spans="1:16" ht="8.25" customHeight="1" thickBot="1" x14ac:dyDescent="0.3">
      <c r="E5" s="505"/>
      <c r="F5" s="12"/>
      <c r="G5" s="12"/>
      <c r="H5" s="12"/>
      <c r="I5" s="12"/>
      <c r="J5" s="12"/>
    </row>
    <row r="6" spans="1:16" ht="24.95" customHeight="1" x14ac:dyDescent="0.25">
      <c r="A6" s="710" t="s">
        <v>904</v>
      </c>
      <c r="B6" s="702" t="s">
        <v>905</v>
      </c>
      <c r="C6" s="702" t="s">
        <v>906</v>
      </c>
      <c r="D6" s="702" t="s">
        <v>907</v>
      </c>
      <c r="E6" s="702">
        <v>2024</v>
      </c>
      <c r="F6" s="704" t="s">
        <v>913</v>
      </c>
      <c r="G6" s="705"/>
      <c r="H6" s="705"/>
      <c r="I6" s="705"/>
      <c r="J6" s="706"/>
      <c r="K6" s="707" t="s">
        <v>908</v>
      </c>
    </row>
    <row r="7" spans="1:16" ht="24.95" customHeight="1" thickBot="1" x14ac:dyDescent="0.3">
      <c r="A7" s="711"/>
      <c r="B7" s="703"/>
      <c r="C7" s="703"/>
      <c r="D7" s="703"/>
      <c r="E7" s="703"/>
      <c r="F7" s="585">
        <v>2023</v>
      </c>
      <c r="G7" s="585">
        <v>2022</v>
      </c>
      <c r="H7" s="586">
        <v>2021</v>
      </c>
      <c r="I7" s="585">
        <v>2020</v>
      </c>
      <c r="J7" s="585" t="s">
        <v>912</v>
      </c>
      <c r="K7" s="708"/>
    </row>
    <row r="8" spans="1:16" ht="24.95" customHeight="1" x14ac:dyDescent="0.25">
      <c r="A8" s="566"/>
      <c r="B8" s="571"/>
      <c r="C8" s="571"/>
      <c r="D8" s="594"/>
      <c r="E8" s="568"/>
      <c r="F8" s="568"/>
      <c r="G8" s="568"/>
      <c r="H8" s="569"/>
      <c r="I8" s="568"/>
      <c r="J8" s="602">
        <f>IF(AND(E8&gt;=25,F8&lt;&gt;"",G8&lt;&gt;"",H8&lt;&gt;"",I8&lt;&gt;""),SUM(E8:I8),IF(AND(E8&lt;=24,F8&lt;&gt;"",G8&lt;&gt;"",H8&lt;&gt;"",I8&lt;&gt;""),SUM(E8:I8),IF(E8&gt;=25,0,0)))</f>
        <v>0</v>
      </c>
      <c r="K8" s="574"/>
      <c r="M8" s="570" t="s">
        <v>909</v>
      </c>
      <c r="O8" s="599" t="str">
        <f>IF(OR(B8="benannter Operateur",B8="nicht benannter Operateur"),E8,"0")</f>
        <v>0</v>
      </c>
      <c r="P8" s="598"/>
    </row>
    <row r="9" spans="1:16" ht="24.95" customHeight="1" x14ac:dyDescent="0.25">
      <c r="A9" s="566"/>
      <c r="B9" s="571"/>
      <c r="C9" s="567"/>
      <c r="D9" s="595"/>
      <c r="E9" s="572"/>
      <c r="F9" s="572"/>
      <c r="G9" s="572"/>
      <c r="H9" s="573"/>
      <c r="I9" s="572"/>
      <c r="J9" s="602">
        <f t="shared" ref="J9:J24" si="0">IF(AND(E9&gt;=25,F9&lt;&gt;"",G9&lt;&gt;"",H9&lt;&gt;"",I9&lt;&gt;""),SUM(E9:I9),IF(AND(E9&lt;=24,F9&lt;&gt;"",G9&lt;&gt;"",H9&lt;&gt;"",I9&lt;&gt;""),SUM(E9:I9),IF(E9&gt;=25,0,0)))</f>
        <v>0</v>
      </c>
      <c r="K9" s="574"/>
      <c r="M9" s="570" t="s">
        <v>910</v>
      </c>
      <c r="O9" s="599" t="str">
        <f t="shared" ref="O9:O24" si="1">IF(OR(B9="benannter Operateur",B9="nicht benannter Operateur"),E9,"0")</f>
        <v>0</v>
      </c>
    </row>
    <row r="10" spans="1:16" ht="24.95" customHeight="1" x14ac:dyDescent="0.25">
      <c r="A10" s="566"/>
      <c r="B10" s="571"/>
      <c r="C10" s="567"/>
      <c r="D10" s="595"/>
      <c r="E10" s="572"/>
      <c r="F10" s="572"/>
      <c r="G10" s="572"/>
      <c r="H10" s="573"/>
      <c r="I10" s="572"/>
      <c r="J10" s="602">
        <f t="shared" si="0"/>
        <v>0</v>
      </c>
      <c r="K10" s="574"/>
      <c r="M10" s="570" t="s">
        <v>951</v>
      </c>
      <c r="O10" s="599" t="str">
        <f t="shared" si="1"/>
        <v>0</v>
      </c>
    </row>
    <row r="11" spans="1:16" ht="24.95" customHeight="1" x14ac:dyDescent="0.25">
      <c r="A11" s="566"/>
      <c r="B11" s="571"/>
      <c r="C11" s="567"/>
      <c r="D11" s="595"/>
      <c r="E11" s="572"/>
      <c r="F11" s="572"/>
      <c r="G11" s="572"/>
      <c r="H11" s="573"/>
      <c r="I11" s="572"/>
      <c r="J11" s="602">
        <f t="shared" si="0"/>
        <v>0</v>
      </c>
      <c r="K11" s="574"/>
      <c r="O11" s="599" t="str">
        <f t="shared" si="1"/>
        <v>0</v>
      </c>
    </row>
    <row r="12" spans="1:16" ht="24.95" customHeight="1" x14ac:dyDescent="0.25">
      <c r="A12" s="566"/>
      <c r="B12" s="571"/>
      <c r="C12" s="567"/>
      <c r="D12" s="595"/>
      <c r="E12" s="572"/>
      <c r="F12" s="572"/>
      <c r="G12" s="572"/>
      <c r="H12" s="573"/>
      <c r="I12" s="572"/>
      <c r="J12" s="602">
        <f t="shared" si="0"/>
        <v>0</v>
      </c>
      <c r="K12" s="574"/>
      <c r="O12" s="599" t="str">
        <f t="shared" si="1"/>
        <v>0</v>
      </c>
    </row>
    <row r="13" spans="1:16" ht="24.95" customHeight="1" x14ac:dyDescent="0.25">
      <c r="A13" s="566"/>
      <c r="B13" s="571"/>
      <c r="C13" s="567"/>
      <c r="D13" s="595"/>
      <c r="E13" s="572"/>
      <c r="F13" s="572"/>
      <c r="G13" s="572"/>
      <c r="H13" s="573"/>
      <c r="I13" s="572"/>
      <c r="J13" s="602">
        <f t="shared" si="0"/>
        <v>0</v>
      </c>
      <c r="K13" s="574"/>
      <c r="O13" s="599" t="str">
        <f t="shared" si="1"/>
        <v>0</v>
      </c>
    </row>
    <row r="14" spans="1:16" ht="24.95" customHeight="1" x14ac:dyDescent="0.25">
      <c r="A14" s="566"/>
      <c r="B14" s="571"/>
      <c r="C14" s="567"/>
      <c r="D14" s="595"/>
      <c r="E14" s="572"/>
      <c r="F14" s="575"/>
      <c r="G14" s="572"/>
      <c r="H14" s="572"/>
      <c r="I14" s="575"/>
      <c r="J14" s="602">
        <f t="shared" si="0"/>
        <v>0</v>
      </c>
      <c r="K14" s="574"/>
      <c r="O14" s="599" t="str">
        <f t="shared" si="1"/>
        <v>0</v>
      </c>
    </row>
    <row r="15" spans="1:16" ht="24.95" customHeight="1" x14ac:dyDescent="0.25">
      <c r="A15" s="566"/>
      <c r="B15" s="571"/>
      <c r="C15" s="567"/>
      <c r="D15" s="595"/>
      <c r="E15" s="572"/>
      <c r="F15" s="575"/>
      <c r="G15" s="572"/>
      <c r="H15" s="572"/>
      <c r="I15" s="575"/>
      <c r="J15" s="602">
        <f t="shared" si="0"/>
        <v>0</v>
      </c>
      <c r="K15" s="574"/>
      <c r="O15" s="599" t="str">
        <f t="shared" si="1"/>
        <v>0</v>
      </c>
    </row>
    <row r="16" spans="1:16" ht="24.95" customHeight="1" x14ac:dyDescent="0.25">
      <c r="A16" s="566"/>
      <c r="B16" s="571"/>
      <c r="C16" s="567"/>
      <c r="D16" s="595"/>
      <c r="E16" s="572"/>
      <c r="F16" s="575"/>
      <c r="G16" s="572"/>
      <c r="H16" s="572"/>
      <c r="I16" s="575"/>
      <c r="J16" s="602">
        <f t="shared" si="0"/>
        <v>0</v>
      </c>
      <c r="K16" s="574"/>
      <c r="O16" s="599" t="str">
        <f t="shared" si="1"/>
        <v>0</v>
      </c>
    </row>
    <row r="17" spans="1:15" ht="24.95" customHeight="1" x14ac:dyDescent="0.25">
      <c r="A17" s="566"/>
      <c r="B17" s="571"/>
      <c r="C17" s="567"/>
      <c r="D17" s="595"/>
      <c r="E17" s="572"/>
      <c r="F17" s="575"/>
      <c r="G17" s="572"/>
      <c r="H17" s="572"/>
      <c r="I17" s="575"/>
      <c r="J17" s="602">
        <f t="shared" si="0"/>
        <v>0</v>
      </c>
      <c r="K17" s="574"/>
      <c r="O17" s="599" t="str">
        <f t="shared" si="1"/>
        <v>0</v>
      </c>
    </row>
    <row r="18" spans="1:15" ht="24.95" customHeight="1" x14ac:dyDescent="0.25">
      <c r="A18" s="566"/>
      <c r="B18" s="571"/>
      <c r="C18" s="567"/>
      <c r="D18" s="595"/>
      <c r="E18" s="572"/>
      <c r="F18" s="575"/>
      <c r="G18" s="572"/>
      <c r="H18" s="572"/>
      <c r="I18" s="575"/>
      <c r="J18" s="602">
        <f t="shared" si="0"/>
        <v>0</v>
      </c>
      <c r="K18" s="574"/>
      <c r="O18" s="599" t="str">
        <f t="shared" si="1"/>
        <v>0</v>
      </c>
    </row>
    <row r="19" spans="1:15" ht="24.95" customHeight="1" x14ac:dyDescent="0.25">
      <c r="A19" s="566"/>
      <c r="B19" s="571"/>
      <c r="C19" s="567"/>
      <c r="D19" s="595"/>
      <c r="E19" s="572"/>
      <c r="F19" s="575"/>
      <c r="G19" s="572"/>
      <c r="H19" s="572"/>
      <c r="I19" s="575"/>
      <c r="J19" s="602">
        <f t="shared" si="0"/>
        <v>0</v>
      </c>
      <c r="K19" s="574"/>
      <c r="O19" s="599" t="str">
        <f t="shared" si="1"/>
        <v>0</v>
      </c>
    </row>
    <row r="20" spans="1:15" ht="24.95" customHeight="1" x14ac:dyDescent="0.25">
      <c r="A20" s="566"/>
      <c r="B20" s="571"/>
      <c r="C20" s="567"/>
      <c r="D20" s="595"/>
      <c r="E20" s="572"/>
      <c r="F20" s="575"/>
      <c r="G20" s="572"/>
      <c r="H20" s="572"/>
      <c r="I20" s="575"/>
      <c r="J20" s="602">
        <f t="shared" si="0"/>
        <v>0</v>
      </c>
      <c r="K20" s="574"/>
      <c r="O20" s="599" t="str">
        <f t="shared" si="1"/>
        <v>0</v>
      </c>
    </row>
    <row r="21" spans="1:15" ht="24.95" customHeight="1" x14ac:dyDescent="0.25">
      <c r="A21" s="566"/>
      <c r="B21" s="571"/>
      <c r="C21" s="567"/>
      <c r="D21" s="595"/>
      <c r="E21" s="572"/>
      <c r="F21" s="575"/>
      <c r="G21" s="572"/>
      <c r="H21" s="572"/>
      <c r="I21" s="575"/>
      <c r="J21" s="602">
        <f t="shared" si="0"/>
        <v>0</v>
      </c>
      <c r="K21" s="574"/>
      <c r="O21" s="599" t="str">
        <f t="shared" si="1"/>
        <v>0</v>
      </c>
    </row>
    <row r="22" spans="1:15" ht="24.95" customHeight="1" x14ac:dyDescent="0.25">
      <c r="A22" s="566"/>
      <c r="B22" s="571"/>
      <c r="C22" s="567"/>
      <c r="D22" s="595"/>
      <c r="E22" s="572"/>
      <c r="F22" s="575"/>
      <c r="G22" s="572"/>
      <c r="H22" s="572"/>
      <c r="I22" s="575"/>
      <c r="J22" s="602">
        <f t="shared" si="0"/>
        <v>0</v>
      </c>
      <c r="K22" s="574"/>
      <c r="O22" s="599" t="str">
        <f t="shared" si="1"/>
        <v>0</v>
      </c>
    </row>
    <row r="23" spans="1:15" ht="24.95" customHeight="1" x14ac:dyDescent="0.25">
      <c r="A23" s="566"/>
      <c r="B23" s="571"/>
      <c r="C23" s="567"/>
      <c r="D23" s="595"/>
      <c r="E23" s="572"/>
      <c r="F23" s="575"/>
      <c r="G23" s="572"/>
      <c r="H23" s="572"/>
      <c r="I23" s="575"/>
      <c r="J23" s="602">
        <f t="shared" si="0"/>
        <v>0</v>
      </c>
      <c r="K23" s="574"/>
      <c r="O23" s="599" t="str">
        <f t="shared" si="1"/>
        <v>0</v>
      </c>
    </row>
    <row r="24" spans="1:15" ht="24.95" customHeight="1" thickBot="1" x14ac:dyDescent="0.3">
      <c r="A24" s="576"/>
      <c r="B24" s="577"/>
      <c r="C24" s="577"/>
      <c r="D24" s="596"/>
      <c r="E24" s="578"/>
      <c r="F24" s="579"/>
      <c r="G24" s="578"/>
      <c r="H24" s="578"/>
      <c r="I24" s="578"/>
      <c r="J24" s="603">
        <f t="shared" si="0"/>
        <v>0</v>
      </c>
      <c r="K24" s="580"/>
      <c r="O24" s="599" t="str">
        <f t="shared" si="1"/>
        <v>0</v>
      </c>
    </row>
    <row r="25" spans="1:15" ht="20.100000000000001" customHeight="1" thickBot="1" x14ac:dyDescent="0.3">
      <c r="D25" s="582" t="s">
        <v>914</v>
      </c>
      <c r="E25" s="601">
        <f>SUM(O8:O24)</f>
        <v>0</v>
      </c>
      <c r="F25" s="600"/>
      <c r="G25" s="600"/>
      <c r="H25" s="600"/>
      <c r="I25" s="600"/>
    </row>
    <row r="26" spans="1:15" ht="15.75" customHeight="1" x14ac:dyDescent="0.25">
      <c r="A26" s="709"/>
      <c r="B26" s="709"/>
      <c r="C26" s="709"/>
    </row>
    <row r="27" spans="1:15" x14ac:dyDescent="0.25">
      <c r="A27" s="407"/>
    </row>
  </sheetData>
  <sheetProtection algorithmName="SHA-512" hashValue="gXFmqZfXIcc15CekU5vw0a5T2l0MSepTOH1olxkOmKfoI3DaJxU6lO6Fv8iWHT7aRj+/6EacPtx68heyeMvBUQ==" saltValue="G1go36Wgquw+dKE6mRceKQ==" spinCount="100000" sheet="1" objects="1" scenarios="1" selectLockedCells="1"/>
  <mergeCells count="9">
    <mergeCell ref="A4:F4"/>
    <mergeCell ref="E6:E7"/>
    <mergeCell ref="F6:J6"/>
    <mergeCell ref="K6:K7"/>
    <mergeCell ref="A26:C26"/>
    <mergeCell ref="A6:A7"/>
    <mergeCell ref="B6:B7"/>
    <mergeCell ref="C6:C7"/>
    <mergeCell ref="D6:D7"/>
  </mergeCells>
  <conditionalFormatting sqref="A8:I24 K8:K24">
    <cfRule type="expression" dxfId="183" priority="13">
      <formula>LEN(TRIM(A8))=0</formula>
    </cfRule>
  </conditionalFormatting>
  <conditionalFormatting sqref="E8:E24">
    <cfRule type="expression" dxfId="182" priority="14">
      <formula>AND($B8="benannter Operateur",$E8&lt;25)</formula>
    </cfRule>
    <cfRule type="expression" dxfId="181" priority="15">
      <formula>AND($B8="nicht benannter Operateur",$E$8&gt;=0)</formula>
    </cfRule>
  </conditionalFormatting>
  <conditionalFormatting sqref="F8:I24">
    <cfRule type="expression" dxfId="180" priority="3">
      <formula>AND($B8="in Ausbildung",$E8&lt;&gt;"")</formula>
    </cfRule>
    <cfRule type="expression" dxfId="179" priority="10">
      <formula>$E8&gt;=25</formula>
    </cfRule>
  </conditionalFormatting>
  <conditionalFormatting sqref="J8:J24">
    <cfRule type="expression" dxfId="178" priority="1">
      <formula>$B8="in Ausbildung"</formula>
    </cfRule>
    <cfRule type="expression" dxfId="177" priority="8">
      <formula>$E8&gt;=25</formula>
    </cfRule>
    <cfRule type="expression" dxfId="176" priority="9">
      <formula>AND($J8&gt;1,$J8&lt;75)</formula>
    </cfRule>
  </conditionalFormatting>
  <conditionalFormatting sqref="K8:K24">
    <cfRule type="expression" dxfId="175" priority="4">
      <formula>AND($B8="nicht benannter Operateur",$E8&lt;&gt;"")</formula>
    </cfRule>
    <cfRule type="expression" dxfId="174" priority="5">
      <formula>AND($J8&lt;&gt;0,$J8&gt;=75)</formula>
    </cfRule>
    <cfRule type="expression" dxfId="173" priority="6">
      <formula>AND($B8="benannter Operateur",$E8&gt;=25)</formula>
    </cfRule>
    <cfRule type="expression" dxfId="172" priority="7">
      <formula>AND($B8="in Ausbildung",$E8&lt;&gt;"")</formula>
    </cfRule>
  </conditionalFormatting>
  <dataValidations count="5">
    <dataValidation type="textLength" showInputMessage="1" showErrorMessage="1" errorTitle="Zeichenlänge" error="Nur Texteingabe bis 500 Zeichen möglich." sqref="K8:K24" xr:uid="{00000000-0002-0000-0600-000000000000}">
      <formula1>2</formula1>
      <formula2>500</formula2>
    </dataValidation>
    <dataValidation type="textLength" showInputMessage="1" showErrorMessage="1" errorTitle="Zeichenlänge" error="Nur Texteingabe bis 200 Zeichen möglich." sqref="C8:C24 A8:A24" xr:uid="{00000000-0002-0000-0600-000001000000}">
      <formula1>2</formula1>
      <formula2>200</formula2>
    </dataValidation>
    <dataValidation type="whole" showInputMessage="1" showErrorMessage="1" errorTitle="Eingabefehler" error="Ganze Zahl zwischen 0 und 5000 eingeben." sqref="E8:E24 J8:J24" xr:uid="{00000000-0002-0000-0600-000002000000}">
      <formula1>0</formula1>
      <formula2>5000</formula2>
    </dataValidation>
    <dataValidation type="list" allowBlank="1" showInputMessage="1" showErrorMessage="1" sqref="B8:B24" xr:uid="{00000000-0002-0000-0600-000003000000}">
      <formula1>$M$8:$M$10</formula1>
    </dataValidation>
    <dataValidation type="whole" allowBlank="1" showInputMessage="1" showErrorMessage="1" errorTitle="Eingabefehler" error="Ganze Zahl zwischen 0 und 5000 eingeben." sqref="F8:I24" xr:uid="{00000000-0002-0000-0600-000004000000}">
      <formula1>0</formula1>
      <formula2>5000</formula2>
    </dataValidation>
  </dataValidations>
  <pageMargins left="0.24" right="0.25" top="0.75" bottom="0.75" header="0.3" footer="0.3"/>
  <pageSetup scale="62" orientation="landscape" horizontalDpi="4294967295" verticalDpi="4294967295" r:id="rId1"/>
  <headerFooter>
    <oddFooter>&amp;L&amp;F&amp;C© DKG Alle Rechte vorbehalten&amp;R&amp;P</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pageSetUpPr fitToPage="1"/>
  </sheetPr>
  <dimension ref="A1:U109"/>
  <sheetViews>
    <sheetView showGridLines="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11.42578125" defaultRowHeight="14.25" x14ac:dyDescent="0.2"/>
  <cols>
    <col min="1" max="1" width="0.85546875" style="3" customWidth="1"/>
    <col min="2" max="2" width="3.42578125" style="3" customWidth="1"/>
    <col min="3" max="3" width="2.7109375" style="10" customWidth="1"/>
    <col min="4" max="4" width="5.140625" style="3" customWidth="1"/>
    <col min="5" max="5" width="16.28515625" style="3" customWidth="1"/>
    <col min="6" max="6" width="13.140625" style="3" customWidth="1"/>
    <col min="7" max="7" width="11" style="3" customWidth="1"/>
    <col min="8" max="8" width="12.7109375" style="3" customWidth="1"/>
    <col min="9" max="9" width="11.28515625" style="3" customWidth="1"/>
    <col min="10" max="10" width="14.5703125" style="3" customWidth="1"/>
    <col min="11" max="11" width="9.7109375" style="3" customWidth="1"/>
    <col min="12" max="12" width="5.85546875" style="3" customWidth="1"/>
    <col min="13" max="13" width="4.7109375" style="3" customWidth="1"/>
    <col min="14" max="14" width="3.85546875" style="3" customWidth="1"/>
    <col min="15" max="15" width="6.7109375" style="3" customWidth="1"/>
    <col min="16" max="16" width="6" style="3" customWidth="1"/>
    <col min="17" max="17" width="7.85546875" style="57" customWidth="1"/>
    <col min="18" max="18" width="8.7109375" style="3" customWidth="1"/>
    <col min="19" max="20" width="70.85546875" style="3" customWidth="1"/>
    <col min="21" max="21" width="9.140625" style="3" hidden="1" customWidth="1"/>
    <col min="22" max="16384" width="11.42578125" style="3"/>
  </cols>
  <sheetData>
    <row r="1" spans="1:20" ht="8.25" customHeight="1" x14ac:dyDescent="0.25">
      <c r="A1" s="6"/>
      <c r="Q1" s="3"/>
    </row>
    <row r="2" spans="1:20" ht="12.95" customHeight="1" x14ac:dyDescent="0.2">
      <c r="A2" s="4"/>
      <c r="B2" s="11" t="str">
        <f>Basisdaten!B2</f>
        <v>Anlage EB Version P1.2 (Auditjahr 2025 / Kennzahlenjahr 2024)</v>
      </c>
      <c r="C2" s="63"/>
      <c r="D2" s="23"/>
      <c r="E2" s="23"/>
      <c r="F2" s="23"/>
      <c r="G2" s="23"/>
      <c r="H2" s="23"/>
      <c r="I2" s="23"/>
      <c r="J2" s="23"/>
      <c r="Q2" s="3"/>
    </row>
    <row r="3" spans="1:20" ht="19.5" customHeight="1" x14ac:dyDescent="0.25">
      <c r="A3" s="37"/>
      <c r="B3" s="546" t="s">
        <v>359</v>
      </c>
      <c r="P3" s="22"/>
      <c r="Q3" s="3"/>
    </row>
    <row r="4" spans="1:20" ht="15" customHeight="1" x14ac:dyDescent="0.25">
      <c r="A4" s="37"/>
      <c r="B4" s="26" t="s">
        <v>83</v>
      </c>
      <c r="E4" s="864" t="str">
        <f>IF(Basisdaten!C6=0,"",Basisdaten!C6)</f>
        <v/>
      </c>
      <c r="F4" s="865"/>
      <c r="G4" s="47" t="s">
        <v>836</v>
      </c>
      <c r="H4" s="866" t="str">
        <f>IF(Basisdaten!C8=0,"",Basisdaten!C8)</f>
        <v/>
      </c>
      <c r="I4" s="866"/>
      <c r="J4" s="866"/>
      <c r="K4" s="866"/>
      <c r="L4" s="866"/>
      <c r="M4" s="866"/>
      <c r="N4" s="866"/>
      <c r="O4" s="866"/>
      <c r="P4"/>
      <c r="Q4" s="3"/>
    </row>
    <row r="5" spans="1:20" ht="9" customHeight="1" thickBot="1" x14ac:dyDescent="0.25">
      <c r="F5" s="9"/>
      <c r="G5" s="9"/>
      <c r="H5" s="9"/>
      <c r="I5" s="9"/>
      <c r="J5" s="9"/>
      <c r="K5" s="9"/>
      <c r="L5" s="9"/>
      <c r="M5" s="9"/>
      <c r="N5" s="9"/>
      <c r="O5" s="9"/>
      <c r="P5" s="22"/>
      <c r="Q5" s="3"/>
    </row>
    <row r="6" spans="1:20" s="8" customFormat="1" ht="16.5" customHeight="1" thickBot="1" x14ac:dyDescent="0.3">
      <c r="B6" s="833" t="s">
        <v>447</v>
      </c>
      <c r="C6" s="855"/>
      <c r="D6" s="819" t="s">
        <v>710</v>
      </c>
      <c r="E6" s="858" t="s">
        <v>286</v>
      </c>
      <c r="F6" s="858" t="s">
        <v>1</v>
      </c>
      <c r="G6" s="861"/>
      <c r="H6" s="858" t="s">
        <v>2</v>
      </c>
      <c r="I6" s="861"/>
      <c r="J6" s="858" t="s">
        <v>86</v>
      </c>
      <c r="K6" s="861"/>
      <c r="L6" s="814" t="s">
        <v>402</v>
      </c>
      <c r="M6" s="862" t="s">
        <v>3</v>
      </c>
      <c r="N6" s="863"/>
      <c r="O6" s="814" t="s">
        <v>402</v>
      </c>
      <c r="P6" s="833" t="s">
        <v>559</v>
      </c>
      <c r="Q6" s="834"/>
      <c r="R6" s="819" t="s">
        <v>401</v>
      </c>
      <c r="S6" s="811" t="s">
        <v>82</v>
      </c>
      <c r="T6" s="812"/>
    </row>
    <row r="7" spans="1:20" s="8" customFormat="1" ht="23.25" customHeight="1" thickBot="1" x14ac:dyDescent="0.3">
      <c r="B7" s="856"/>
      <c r="C7" s="857"/>
      <c r="D7" s="860"/>
      <c r="E7" s="859"/>
      <c r="F7" s="859"/>
      <c r="G7" s="861"/>
      <c r="H7" s="859"/>
      <c r="I7" s="861"/>
      <c r="J7" s="859"/>
      <c r="K7" s="861"/>
      <c r="L7" s="815"/>
      <c r="M7" s="862"/>
      <c r="N7" s="863"/>
      <c r="O7" s="815"/>
      <c r="P7" s="835"/>
      <c r="Q7" s="836"/>
      <c r="R7" s="820"/>
      <c r="S7" s="283" t="s">
        <v>474</v>
      </c>
      <c r="T7" s="283" t="s">
        <v>438</v>
      </c>
    </row>
    <row r="8" spans="1:20" ht="28.5" customHeight="1" thickBot="1" x14ac:dyDescent="0.25">
      <c r="B8" s="844" t="s">
        <v>712</v>
      </c>
      <c r="C8" s="770"/>
      <c r="D8" s="849" t="s">
        <v>245</v>
      </c>
      <c r="E8" s="776" t="s">
        <v>233</v>
      </c>
      <c r="F8" s="776" t="s">
        <v>7</v>
      </c>
      <c r="G8" s="779"/>
      <c r="H8" s="776" t="s">
        <v>6</v>
      </c>
      <c r="I8" s="779"/>
      <c r="J8" s="729" t="s">
        <v>350</v>
      </c>
      <c r="K8" s="786"/>
      <c r="L8" s="736"/>
      <c r="M8" s="777" t="s">
        <v>288</v>
      </c>
      <c r="N8" s="778"/>
      <c r="O8" s="736"/>
      <c r="P8" s="793" t="s">
        <v>8</v>
      </c>
      <c r="Q8" s="712">
        <f>IF(Basisdaten!O40="",0,Basisdaten!O40)</f>
        <v>0</v>
      </c>
      <c r="R8" s="766" t="str">
        <f>IF(Q8="",Berechnung1!$F$4,IF(Q8=0, Berechnung1!F4,IF(OR(Q8&lt; Berechnung1!E29,Q8&gt; Berechnung1!F29),Berechnung1!$G$4,IF(OR(ROUND(Q8,4)&lt;Berechnung1!J29,ROUND(Q8,4)&gt;Berechnung1!K29),Berechnung1!$D$4,IF(OR(ROUND(Q8,4)&lt;Berechnung1!G29,ROUND(Q8,4)&gt;Berechnung1!H29),Berechnung1!$E$4,Berechnung1!$C$4)))))</f>
        <v>Unvollständig</v>
      </c>
      <c r="S8" s="767"/>
      <c r="T8" s="721"/>
    </row>
    <row r="9" spans="1:20" ht="28.5" customHeight="1" thickBot="1" x14ac:dyDescent="0.25">
      <c r="B9" s="771"/>
      <c r="C9" s="772"/>
      <c r="D9" s="850"/>
      <c r="E9" s="776"/>
      <c r="F9" s="776"/>
      <c r="G9" s="779"/>
      <c r="H9" s="776"/>
      <c r="I9" s="779"/>
      <c r="J9" s="731"/>
      <c r="K9" s="787"/>
      <c r="L9" s="737"/>
      <c r="M9" s="777"/>
      <c r="N9" s="778"/>
      <c r="O9" s="737"/>
      <c r="P9" s="793"/>
      <c r="Q9" s="713"/>
      <c r="R9" s="716"/>
      <c r="S9" s="768"/>
      <c r="T9" s="722"/>
    </row>
    <row r="10" spans="1:20" ht="28.5" customHeight="1" thickBot="1" x14ac:dyDescent="0.25">
      <c r="B10" s="773"/>
      <c r="C10" s="774"/>
      <c r="D10" s="851"/>
      <c r="E10" s="776"/>
      <c r="F10" s="776"/>
      <c r="G10" s="779"/>
      <c r="H10" s="776"/>
      <c r="I10" s="779"/>
      <c r="J10" s="733"/>
      <c r="K10" s="788"/>
      <c r="L10" s="738"/>
      <c r="M10" s="777"/>
      <c r="N10" s="778"/>
      <c r="O10" s="738"/>
      <c r="P10" s="793"/>
      <c r="Q10" s="714"/>
      <c r="R10" s="717"/>
      <c r="S10" s="768"/>
      <c r="T10" s="722"/>
    </row>
    <row r="11" spans="1:20" ht="30" customHeight="1" thickBot="1" x14ac:dyDescent="0.25">
      <c r="B11" s="840" t="s">
        <v>713</v>
      </c>
      <c r="C11" s="845">
        <v>1</v>
      </c>
      <c r="D11" s="723"/>
      <c r="E11" s="776" t="s">
        <v>234</v>
      </c>
      <c r="F11" s="816" t="s">
        <v>350</v>
      </c>
      <c r="G11" s="786"/>
      <c r="H11" s="776" t="s">
        <v>919</v>
      </c>
      <c r="I11" s="779"/>
      <c r="J11" s="729" t="s">
        <v>350</v>
      </c>
      <c r="K11" s="786"/>
      <c r="L11" s="736"/>
      <c r="M11" s="777" t="s">
        <v>465</v>
      </c>
      <c r="N11" s="778"/>
      <c r="O11" s="736"/>
      <c r="P11" s="793" t="s">
        <v>8</v>
      </c>
      <c r="Q11" s="712">
        <f>IF(Basisdaten!O33="",0,Basisdaten!O33)</f>
        <v>0</v>
      </c>
      <c r="R11" s="766" t="str">
        <f>IF(Q11="",Berechnung1!$F$4,IF(Q11=0, Berechnung1!F4,IF(OR(Q11&lt; Berechnung1!E32,Q11&gt; Berechnung1!F32),Berechnung1!$G$4,IF(OR(ROUND(Q11,4)&lt;Berechnung1!J32,ROUND(Q11,4)&gt;Berechnung1!K32),Berechnung1!$D$4,IF(OR(ROUND(Q11,4)&lt;Berechnung1!G32,ROUND(Q11,4)&gt;Berechnung1!H32),Berechnung1!$E$4,Berechnung1!$C$4)))))</f>
        <v>Unvollständig</v>
      </c>
      <c r="S11" s="721"/>
      <c r="T11" s="721"/>
    </row>
    <row r="12" spans="1:20" ht="30" customHeight="1" thickBot="1" x14ac:dyDescent="0.25">
      <c r="B12" s="838"/>
      <c r="C12" s="846"/>
      <c r="D12" s="724"/>
      <c r="E12" s="776"/>
      <c r="F12" s="817"/>
      <c r="G12" s="787"/>
      <c r="H12" s="776"/>
      <c r="I12" s="779"/>
      <c r="J12" s="731"/>
      <c r="K12" s="787"/>
      <c r="L12" s="737"/>
      <c r="M12" s="777"/>
      <c r="N12" s="778"/>
      <c r="O12" s="737"/>
      <c r="P12" s="793"/>
      <c r="Q12" s="713"/>
      <c r="R12" s="716"/>
      <c r="S12" s="799"/>
      <c r="T12" s="722"/>
    </row>
    <row r="13" spans="1:20" ht="30" customHeight="1" thickBot="1" x14ac:dyDescent="0.25">
      <c r="B13" s="838"/>
      <c r="C13" s="846"/>
      <c r="D13" s="724"/>
      <c r="E13" s="776"/>
      <c r="F13" s="818"/>
      <c r="G13" s="788"/>
      <c r="H13" s="776"/>
      <c r="I13" s="779"/>
      <c r="J13" s="733"/>
      <c r="K13" s="788"/>
      <c r="L13" s="738"/>
      <c r="M13" s="777"/>
      <c r="N13" s="778"/>
      <c r="O13" s="738"/>
      <c r="P13" s="793"/>
      <c r="Q13" s="714"/>
      <c r="R13" s="717"/>
      <c r="S13" s="800"/>
      <c r="T13" s="722"/>
    </row>
    <row r="14" spans="1:20" ht="30" customHeight="1" thickBot="1" x14ac:dyDescent="0.25">
      <c r="B14" s="838"/>
      <c r="C14" s="852">
        <v>2</v>
      </c>
      <c r="D14" s="724"/>
      <c r="E14" s="776" t="s">
        <v>234</v>
      </c>
      <c r="F14" s="816" t="s">
        <v>350</v>
      </c>
      <c r="G14" s="786"/>
      <c r="H14" s="776" t="s">
        <v>920</v>
      </c>
      <c r="I14" s="779"/>
      <c r="J14" s="729" t="s">
        <v>350</v>
      </c>
      <c r="K14" s="786"/>
      <c r="L14" s="736"/>
      <c r="M14" s="777" t="s">
        <v>465</v>
      </c>
      <c r="N14" s="778"/>
      <c r="O14" s="736"/>
      <c r="P14" s="793" t="s">
        <v>8</v>
      </c>
      <c r="Q14" s="712">
        <f>IF(Basisdaten!O34="",0,Basisdaten!O34)</f>
        <v>0</v>
      </c>
      <c r="R14" s="766" t="str">
        <f>IF(Q14="",Berechnung1!$F$4,IF(Q14=0, Berechnung1!F4,IF(OR(Q14&lt; Berechnung1!E35,Q14&gt; Berechnung1!F35),Berechnung1!$G$4,IF(OR(ROUND(Q14,4)&lt;Berechnung1!J35,ROUND(Q14,4)&gt;Berechnung1!K35),Berechnung1!$D$4,IF(OR(ROUND(Q14,4)&lt;Berechnung1!G35,ROUND(Q14,4)&gt;Berechnung1!H35),Berechnung1!$E$4,Berechnung1!$C$4)))))</f>
        <v>Unvollständig</v>
      </c>
      <c r="S14" s="721"/>
      <c r="T14" s="721"/>
    </row>
    <row r="15" spans="1:20" ht="30" customHeight="1" thickBot="1" x14ac:dyDescent="0.25">
      <c r="B15" s="838"/>
      <c r="C15" s="846"/>
      <c r="D15" s="724"/>
      <c r="E15" s="776"/>
      <c r="F15" s="817"/>
      <c r="G15" s="787"/>
      <c r="H15" s="776"/>
      <c r="I15" s="779"/>
      <c r="J15" s="731"/>
      <c r="K15" s="787"/>
      <c r="L15" s="737"/>
      <c r="M15" s="777"/>
      <c r="N15" s="778"/>
      <c r="O15" s="737"/>
      <c r="P15" s="793"/>
      <c r="Q15" s="713"/>
      <c r="R15" s="716"/>
      <c r="S15" s="768"/>
      <c r="T15" s="722"/>
    </row>
    <row r="16" spans="1:20" ht="30" customHeight="1" thickBot="1" x14ac:dyDescent="0.25">
      <c r="B16" s="838"/>
      <c r="C16" s="846"/>
      <c r="D16" s="724"/>
      <c r="E16" s="776"/>
      <c r="F16" s="818"/>
      <c r="G16" s="788"/>
      <c r="H16" s="776"/>
      <c r="I16" s="779"/>
      <c r="J16" s="733"/>
      <c r="K16" s="788"/>
      <c r="L16" s="738"/>
      <c r="M16" s="777"/>
      <c r="N16" s="778"/>
      <c r="O16" s="738"/>
      <c r="P16" s="793"/>
      <c r="Q16" s="714"/>
      <c r="R16" s="717"/>
      <c r="S16" s="768"/>
      <c r="T16" s="722"/>
    </row>
    <row r="17" spans="2:21" ht="30" customHeight="1" thickBot="1" x14ac:dyDescent="0.25">
      <c r="B17" s="838"/>
      <c r="C17" s="852">
        <v>3</v>
      </c>
      <c r="D17" s="724"/>
      <c r="E17" s="776" t="s">
        <v>234</v>
      </c>
      <c r="F17" s="816" t="s">
        <v>350</v>
      </c>
      <c r="G17" s="786"/>
      <c r="H17" s="776" t="s">
        <v>915</v>
      </c>
      <c r="I17" s="779"/>
      <c r="J17" s="729" t="s">
        <v>350</v>
      </c>
      <c r="K17" s="786"/>
      <c r="L17" s="736"/>
      <c r="M17" s="777" t="s">
        <v>465</v>
      </c>
      <c r="N17" s="778"/>
      <c r="O17" s="736"/>
      <c r="P17" s="793" t="s">
        <v>8</v>
      </c>
      <c r="Q17" s="712">
        <f>IF(Basisdaten!O35="",0,Basisdaten!O35)</f>
        <v>0</v>
      </c>
      <c r="R17" s="766" t="str">
        <f>IF(Q17="",Berechnung1!$F$4,IF(Q17=0, Berechnung1!F4,IF(OR(Q17&lt; Berechnung1!E38,Q17&gt; Berechnung1!F38),Berechnung1!$G$4,IF(OR(ROUND(Q17,4)&lt;Berechnung1!J38,ROUND(Q17,4)&gt;Berechnung1!K38),Berechnung1!$D$4,IF(OR(ROUND(Q17,4)&lt;Berechnung1!G38,ROUND(Q17,4)&gt;Berechnung1!H38),Berechnung1!$E$4,Berechnung1!$C$4)))))</f>
        <v>Unvollständig</v>
      </c>
      <c r="S17" s="721"/>
      <c r="T17" s="721"/>
    </row>
    <row r="18" spans="2:21" ht="30" customHeight="1" thickBot="1" x14ac:dyDescent="0.25">
      <c r="B18" s="838"/>
      <c r="C18" s="846"/>
      <c r="D18" s="724"/>
      <c r="E18" s="776"/>
      <c r="F18" s="817"/>
      <c r="G18" s="787"/>
      <c r="H18" s="776"/>
      <c r="I18" s="779"/>
      <c r="J18" s="731"/>
      <c r="K18" s="787"/>
      <c r="L18" s="737"/>
      <c r="M18" s="777"/>
      <c r="N18" s="778"/>
      <c r="O18" s="737"/>
      <c r="P18" s="793"/>
      <c r="Q18" s="713"/>
      <c r="R18" s="716"/>
      <c r="S18" s="768"/>
      <c r="T18" s="722"/>
    </row>
    <row r="19" spans="2:21" ht="30" customHeight="1" thickBot="1" x14ac:dyDescent="0.25">
      <c r="B19" s="839"/>
      <c r="C19" s="847"/>
      <c r="D19" s="725"/>
      <c r="E19" s="776"/>
      <c r="F19" s="818"/>
      <c r="G19" s="788"/>
      <c r="H19" s="776"/>
      <c r="I19" s="779"/>
      <c r="J19" s="733"/>
      <c r="K19" s="788"/>
      <c r="L19" s="738"/>
      <c r="M19" s="777"/>
      <c r="N19" s="778"/>
      <c r="O19" s="738"/>
      <c r="P19" s="793"/>
      <c r="Q19" s="714"/>
      <c r="R19" s="717"/>
      <c r="S19" s="768"/>
      <c r="T19" s="722"/>
    </row>
    <row r="20" spans="2:21" ht="30" customHeight="1" thickBot="1" x14ac:dyDescent="0.25">
      <c r="B20" s="844" t="s">
        <v>711</v>
      </c>
      <c r="C20" s="770"/>
      <c r="D20" s="723"/>
      <c r="E20" s="726" t="s">
        <v>916</v>
      </c>
      <c r="F20" s="729" t="s">
        <v>350</v>
      </c>
      <c r="G20" s="730"/>
      <c r="H20" s="735" t="s">
        <v>921</v>
      </c>
      <c r="I20" s="730"/>
      <c r="J20" s="729" t="s">
        <v>350</v>
      </c>
      <c r="K20" s="730"/>
      <c r="L20" s="736"/>
      <c r="M20" s="739" t="s">
        <v>465</v>
      </c>
      <c r="N20" s="740"/>
      <c r="O20" s="736"/>
      <c r="P20" s="745" t="s">
        <v>8</v>
      </c>
      <c r="Q20" s="712">
        <f>IFERROR(Basisdaten!O45+Basisdaten!O46,0)</f>
        <v>0</v>
      </c>
      <c r="R20" s="715" t="str">
        <f>IF(AND(U21="",Q20=0),Berechnung1!$F$4,IF(AND(U21=0,Q20=0),Berechnung1!$H$4,IF(OR(Q20&lt;Berechnung1!E41,Q20&gt;Berechnung1!F41),Berechnung1!$G$4,IF(OR(ROUND(Q20,4)&lt;Berechnung1!J41,ROUND(Q20,4)&gt;Berechnung1!K41),Berechnung1!$D$4,IF(OR(ROUND(Q20,4)&lt;Berechnung1!G41,ROUND(Q20,4)&gt;Berechnung1!H41),Berechnung1!$E$4,Berechnung1!$C$4)))))</f>
        <v>Unvollständig</v>
      </c>
      <c r="S20" s="718"/>
      <c r="T20" s="721"/>
    </row>
    <row r="21" spans="2:21" ht="30" customHeight="1" thickBot="1" x14ac:dyDescent="0.25">
      <c r="B21" s="771"/>
      <c r="C21" s="772"/>
      <c r="D21" s="724"/>
      <c r="E21" s="727"/>
      <c r="F21" s="731"/>
      <c r="G21" s="732"/>
      <c r="H21" s="731"/>
      <c r="I21" s="732"/>
      <c r="J21" s="731"/>
      <c r="K21" s="732"/>
      <c r="L21" s="737"/>
      <c r="M21" s="741"/>
      <c r="N21" s="742"/>
      <c r="O21" s="737"/>
      <c r="P21" s="746"/>
      <c r="Q21" s="713"/>
      <c r="R21" s="716"/>
      <c r="S21" s="719"/>
      <c r="T21" s="722"/>
      <c r="U21" s="3" t="str">
        <f>IF(Basisdaten!O45="","",IF(Basisdaten!O46="","",(Basisdaten!O45+Basisdaten!O46)))</f>
        <v/>
      </c>
    </row>
    <row r="22" spans="2:21" ht="30" customHeight="1" thickBot="1" x14ac:dyDescent="0.25">
      <c r="B22" s="773"/>
      <c r="C22" s="774"/>
      <c r="D22" s="725"/>
      <c r="E22" s="728"/>
      <c r="F22" s="733"/>
      <c r="G22" s="734"/>
      <c r="H22" s="733"/>
      <c r="I22" s="734"/>
      <c r="J22" s="733"/>
      <c r="K22" s="734"/>
      <c r="L22" s="738"/>
      <c r="M22" s="743"/>
      <c r="N22" s="744"/>
      <c r="O22" s="738"/>
      <c r="P22" s="747"/>
      <c r="Q22" s="714"/>
      <c r="R22" s="717"/>
      <c r="S22" s="720"/>
      <c r="T22" s="722"/>
    </row>
    <row r="23" spans="2:21" s="58" customFormat="1" ht="33.75" customHeight="1" thickBot="1" x14ac:dyDescent="0.25">
      <c r="B23" s="837">
        <v>2</v>
      </c>
      <c r="C23" s="848" t="s">
        <v>270</v>
      </c>
      <c r="D23" s="723" t="s">
        <v>246</v>
      </c>
      <c r="E23" s="726" t="s">
        <v>268</v>
      </c>
      <c r="F23" s="821" t="s">
        <v>928</v>
      </c>
      <c r="G23" s="822"/>
      <c r="H23" s="827" t="s">
        <v>739</v>
      </c>
      <c r="I23" s="828"/>
      <c r="J23" s="754" t="s">
        <v>787</v>
      </c>
      <c r="K23" s="755"/>
      <c r="L23" s="281"/>
      <c r="M23" s="813" t="s">
        <v>251</v>
      </c>
      <c r="N23" s="778"/>
      <c r="O23" s="736"/>
      <c r="P23" s="56" t="s">
        <v>2</v>
      </c>
      <c r="Q23" s="81"/>
      <c r="R23" s="766" t="str">
        <f>IF(AND(Q23&lt;&gt;"",Q24&lt;&gt;"",Q23=0,Q24=0),Berechnung1!$H$4,IF(Q25="",Berechnung1!$D$4,IF(Q25=Berechnung1!D44,Berechnung1!$F$4,IF(OR(Q25&lt;Berechnung1!E44,Q25&gt;Berechnung1!F44),Berechnung1!$G$4,IF(OR(ROUND(Q25,4)&lt;Berechnung1!J44,ROUND(Q25,4)&gt;Berechnung1!K44),Berechnung1!$D$4,IF(OR(ROUND(Q25,4)&lt;Berechnung1!G44,ROUND(Q25,4)&gt;Berechnung1!H44),Berechnung1!$E$4,Berechnung1!$C$4))))))</f>
        <v>Unvollständig</v>
      </c>
      <c r="S23" s="767"/>
      <c r="T23" s="721"/>
    </row>
    <row r="24" spans="2:21" s="58" customFormat="1" ht="33.75" customHeight="1" thickBot="1" x14ac:dyDescent="0.25">
      <c r="B24" s="838"/>
      <c r="C24" s="846"/>
      <c r="D24" s="724"/>
      <c r="E24" s="727"/>
      <c r="F24" s="823"/>
      <c r="G24" s="824"/>
      <c r="H24" s="829"/>
      <c r="I24" s="830"/>
      <c r="J24" s="756"/>
      <c r="K24" s="757"/>
      <c r="L24" s="280"/>
      <c r="M24" s="777"/>
      <c r="N24" s="778"/>
      <c r="O24" s="737"/>
      <c r="P24" s="60" t="s">
        <v>4</v>
      </c>
      <c r="Q24" s="82"/>
      <c r="R24" s="716"/>
      <c r="S24" s="768"/>
      <c r="T24" s="799"/>
      <c r="U24" s="58">
        <f>IF(Basisdaten!O38="",0,Basisdaten!O38)</f>
        <v>0</v>
      </c>
    </row>
    <row r="25" spans="2:21" s="58" customFormat="1" ht="33.75" customHeight="1" thickBot="1" x14ac:dyDescent="0.25">
      <c r="B25" s="838"/>
      <c r="C25" s="846"/>
      <c r="D25" s="724"/>
      <c r="E25" s="727"/>
      <c r="F25" s="823"/>
      <c r="G25" s="824"/>
      <c r="H25" s="829"/>
      <c r="I25" s="830"/>
      <c r="J25" s="756"/>
      <c r="K25" s="757"/>
      <c r="L25" s="280"/>
      <c r="M25" s="777"/>
      <c r="N25" s="778"/>
      <c r="O25" s="738"/>
      <c r="P25" s="60" t="s">
        <v>5</v>
      </c>
      <c r="Q25" s="269" t="str">
        <f>IF(Q23="","n.d.",IF(Q24="","n.d.",IF(Q24=0,"",Q23/Q24)))</f>
        <v>n.d.</v>
      </c>
      <c r="R25" s="717"/>
      <c r="S25" s="768"/>
      <c r="T25" s="800"/>
    </row>
    <row r="26" spans="2:21" ht="33.75" customHeight="1" thickBot="1" x14ac:dyDescent="0.25">
      <c r="B26" s="838"/>
      <c r="C26" s="846" t="s">
        <v>271</v>
      </c>
      <c r="D26" s="724"/>
      <c r="E26" s="727"/>
      <c r="F26" s="821" t="s">
        <v>929</v>
      </c>
      <c r="G26" s="822"/>
      <c r="H26" s="829"/>
      <c r="I26" s="830"/>
      <c r="J26" s="756"/>
      <c r="K26" s="757"/>
      <c r="L26" s="281"/>
      <c r="M26" s="813" t="s">
        <v>251</v>
      </c>
      <c r="N26" s="778"/>
      <c r="O26" s="736"/>
      <c r="P26" s="60" t="s">
        <v>2</v>
      </c>
      <c r="Q26" s="81"/>
      <c r="R26" s="766" t="str">
        <f>IF(AND(Q26&lt;&gt;"",Q27&lt;&gt;"",Q26=0,Q27=0),Berechnung1!$H$4,IF(Q28="",Berechnung1!$D$4,IF(Q28=Berechnung1!D47,Berechnung1!$F$4,IF(OR(Q28&lt;Berechnung1!E47,Q28&gt;Berechnung1!F47),Berechnung1!$G$4,IF(OR(ROUND(Q28,4)&lt;Berechnung1!J47,ROUND(Q28,4)&gt;Berechnung1!K47),Berechnung1!$D$4,IF(OR(ROUND(Q28,4)&lt;Berechnung1!G47,ROUND(Q28,4)&gt;Berechnung1!H47),Berechnung1!$E$4,Berechnung1!$C$4))))))</f>
        <v>Unvollständig</v>
      </c>
      <c r="S26" s="721"/>
      <c r="T26" s="799"/>
    </row>
    <row r="27" spans="2:21" ht="33.75" customHeight="1" thickBot="1" x14ac:dyDescent="0.25">
      <c r="B27" s="838"/>
      <c r="C27" s="846"/>
      <c r="D27" s="724"/>
      <c r="E27" s="727"/>
      <c r="F27" s="823"/>
      <c r="G27" s="824"/>
      <c r="H27" s="829"/>
      <c r="I27" s="830"/>
      <c r="J27" s="756"/>
      <c r="K27" s="757"/>
      <c r="L27" s="280"/>
      <c r="M27" s="777"/>
      <c r="N27" s="778"/>
      <c r="O27" s="737"/>
      <c r="P27" s="60" t="s">
        <v>4</v>
      </c>
      <c r="Q27" s="81"/>
      <c r="R27" s="716"/>
      <c r="S27" s="768"/>
      <c r="T27" s="722"/>
    </row>
    <row r="28" spans="2:21" ht="33.75" customHeight="1" thickBot="1" x14ac:dyDescent="0.25">
      <c r="B28" s="839"/>
      <c r="C28" s="847"/>
      <c r="D28" s="725"/>
      <c r="E28" s="728"/>
      <c r="F28" s="825"/>
      <c r="G28" s="826"/>
      <c r="H28" s="831"/>
      <c r="I28" s="832"/>
      <c r="J28" s="758"/>
      <c r="K28" s="759"/>
      <c r="L28" s="279"/>
      <c r="M28" s="777"/>
      <c r="N28" s="778"/>
      <c r="O28" s="738"/>
      <c r="P28" s="60" t="s">
        <v>5</v>
      </c>
      <c r="Q28" s="269" t="str">
        <f>IF(Q26="","n.d.",IF(Q27="","n.d.",IF(Q27=0,"",Q26/Q27)))</f>
        <v>n.d.</v>
      </c>
      <c r="R28" s="717"/>
      <c r="S28" s="768"/>
      <c r="T28" s="722"/>
    </row>
    <row r="29" spans="2:21" s="58" customFormat="1" ht="33.75" customHeight="1" thickBot="1" x14ac:dyDescent="0.25">
      <c r="B29" s="780">
        <v>3</v>
      </c>
      <c r="C29" s="841" t="s">
        <v>270</v>
      </c>
      <c r="D29" s="748" t="s">
        <v>696</v>
      </c>
      <c r="E29" s="751" t="s">
        <v>831</v>
      </c>
      <c r="F29" s="754" t="s">
        <v>930</v>
      </c>
      <c r="G29" s="755"/>
      <c r="H29" s="754" t="s">
        <v>922</v>
      </c>
      <c r="I29" s="755"/>
      <c r="J29" s="760" t="s">
        <v>917</v>
      </c>
      <c r="K29" s="760"/>
      <c r="L29" s="761"/>
      <c r="M29" s="764">
        <v>1</v>
      </c>
      <c r="N29" s="765"/>
      <c r="O29" s="736"/>
      <c r="P29" s="60" t="s">
        <v>2</v>
      </c>
      <c r="Q29" s="81"/>
      <c r="R29" s="766" t="str">
        <f>IF(AND(Q29&lt;&gt;"",Q30&lt;&gt;"",Q29=0,Q30=0),Berechnung1!$H$4,IF(Q31="",Berechnung1!$D$4,IF(Q31=Berechnung1!D50,Berechnung1!$F$4,IF(OR(Q31&lt;Berechnung1!E50,Q31&gt;Berechnung1!F50),Berechnung1!$G$4,IF(OR(ROUND(Q31,4)&lt;Berechnung1!J50,ROUND(Q31,4)&gt;Berechnung1!K50),Berechnung1!$D$4,IF(OR(ROUND(Q31,4)&lt;Berechnung1!G50,ROUND(Q31,4)&gt;Berechnung1!H50),Berechnung1!$E$4,Berechnung1!$C$4))))))</f>
        <v>Unvollständig</v>
      </c>
      <c r="S29" s="767"/>
      <c r="T29" s="810"/>
    </row>
    <row r="30" spans="2:21" s="58" customFormat="1" ht="33.75" customHeight="1" thickBot="1" x14ac:dyDescent="0.25">
      <c r="B30" s="853"/>
      <c r="C30" s="842"/>
      <c r="D30" s="749"/>
      <c r="E30" s="752"/>
      <c r="F30" s="756"/>
      <c r="G30" s="757"/>
      <c r="H30" s="756"/>
      <c r="I30" s="757"/>
      <c r="J30" s="760"/>
      <c r="K30" s="760"/>
      <c r="L30" s="762"/>
      <c r="M30" s="765"/>
      <c r="N30" s="765"/>
      <c r="O30" s="737"/>
      <c r="P30" s="60" t="s">
        <v>4</v>
      </c>
      <c r="Q30" s="82"/>
      <c r="R30" s="716"/>
      <c r="S30" s="768"/>
      <c r="T30" s="796"/>
      <c r="U30" s="365">
        <f>IF(OR(Basisdaten!F40="",Basisdaten!G40="",Basisdaten!H40=""),0,SUM(Basisdaten!F40:'Basisdaten'!H40))</f>
        <v>0</v>
      </c>
    </row>
    <row r="31" spans="2:21" s="58" customFormat="1" ht="33.75" customHeight="1" thickBot="1" x14ac:dyDescent="0.25">
      <c r="B31" s="853"/>
      <c r="C31" s="842"/>
      <c r="D31" s="749"/>
      <c r="E31" s="752"/>
      <c r="F31" s="756"/>
      <c r="G31" s="757"/>
      <c r="H31" s="756"/>
      <c r="I31" s="757"/>
      <c r="J31" s="760"/>
      <c r="K31" s="760"/>
      <c r="L31" s="763"/>
      <c r="M31" s="765"/>
      <c r="N31" s="765"/>
      <c r="O31" s="738"/>
      <c r="P31" s="60" t="s">
        <v>5</v>
      </c>
      <c r="Q31" s="269" t="str">
        <f>IF(Q29="","n.d.",IF(Q30="","n.d.",IF(Q30=0,"",Q29/Q30)))</f>
        <v>n.d.</v>
      </c>
      <c r="R31" s="717"/>
      <c r="S31" s="768"/>
      <c r="T31" s="797"/>
    </row>
    <row r="32" spans="2:21" ht="33.75" customHeight="1" thickBot="1" x14ac:dyDescent="0.25">
      <c r="B32" s="853"/>
      <c r="C32" s="842" t="s">
        <v>271</v>
      </c>
      <c r="D32" s="749"/>
      <c r="E32" s="752"/>
      <c r="F32" s="756"/>
      <c r="G32" s="757"/>
      <c r="H32" s="756"/>
      <c r="I32" s="757"/>
      <c r="J32" s="760" t="s">
        <v>563</v>
      </c>
      <c r="K32" s="760"/>
      <c r="L32" s="761"/>
      <c r="M32" s="764">
        <v>1</v>
      </c>
      <c r="N32" s="765"/>
      <c r="O32" s="736"/>
      <c r="P32" s="60" t="s">
        <v>2</v>
      </c>
      <c r="Q32" s="81"/>
      <c r="R32" s="766" t="str">
        <f>IF(AND(Q32&lt;&gt;"",Q33&lt;&gt;"",Q32=0,Q33=0),Berechnung1!$H$4,IF(ISERROR(Q34),Berechnung1!$G$4,IF(Q34="",Berechnung1!$D$4,IF(Q34=Berechnung1!D53,Berechnung1!$F$4,IF(OR(Q34&lt;Berechnung1!E53,Q34&gt;Berechnung1!F53),Berechnung1!$G$4,IF(OR(ROUND(Q34,4)&lt;Berechnung1!J53,ROUND(Q34,4)&gt;Berechnung1!K53),Berechnung1!$D$4,IF(OR(ROUND(Q34,4)&lt;Berechnung1!G53,ROUND(Q34,4)&gt;Berechnung1!H53),Berechnung1!$E$4,Berechnung1!$C$4)))))))</f>
        <v>Unvollständig</v>
      </c>
      <c r="S32" s="767"/>
      <c r="T32" s="767"/>
    </row>
    <row r="33" spans="2:21" ht="33.75" customHeight="1" thickBot="1" x14ac:dyDescent="0.25">
      <c r="B33" s="853"/>
      <c r="C33" s="842"/>
      <c r="D33" s="749"/>
      <c r="E33" s="752"/>
      <c r="F33" s="756"/>
      <c r="G33" s="757"/>
      <c r="H33" s="756"/>
      <c r="I33" s="757"/>
      <c r="J33" s="760"/>
      <c r="K33" s="760"/>
      <c r="L33" s="762"/>
      <c r="M33" s="765"/>
      <c r="N33" s="765"/>
      <c r="O33" s="737"/>
      <c r="P33" s="60" t="s">
        <v>4</v>
      </c>
      <c r="Q33" s="81"/>
      <c r="R33" s="716"/>
      <c r="S33" s="768"/>
      <c r="T33" s="722"/>
      <c r="U33" s="365">
        <f>IF(Basisdaten!O38="",0,Basisdaten!O38)</f>
        <v>0</v>
      </c>
    </row>
    <row r="34" spans="2:21" ht="33.75" customHeight="1" thickBot="1" x14ac:dyDescent="0.25">
      <c r="B34" s="853"/>
      <c r="C34" s="843"/>
      <c r="D34" s="749"/>
      <c r="E34" s="752"/>
      <c r="F34" s="756"/>
      <c r="G34" s="757"/>
      <c r="H34" s="756"/>
      <c r="I34" s="757"/>
      <c r="J34" s="760"/>
      <c r="K34" s="760"/>
      <c r="L34" s="763"/>
      <c r="M34" s="765"/>
      <c r="N34" s="765"/>
      <c r="O34" s="738"/>
      <c r="P34" s="60" t="s">
        <v>5</v>
      </c>
      <c r="Q34" s="269" t="str">
        <f>IF(Q32="","n.d.",IF(Q33="","n.d.",IF(Q33=0,"",Q32/Q33)))</f>
        <v>n.d.</v>
      </c>
      <c r="R34" s="717"/>
      <c r="S34" s="768"/>
      <c r="T34" s="722"/>
      <c r="U34" s="365">
        <f>SUM(Basisdaten!O38:O39)</f>
        <v>0</v>
      </c>
    </row>
    <row r="35" spans="2:21" ht="33.75" customHeight="1" thickBot="1" x14ac:dyDescent="0.25">
      <c r="B35" s="853"/>
      <c r="C35" s="842" t="s">
        <v>562</v>
      </c>
      <c r="D35" s="749"/>
      <c r="E35" s="752"/>
      <c r="F35" s="756"/>
      <c r="G35" s="757"/>
      <c r="H35" s="756"/>
      <c r="I35" s="757"/>
      <c r="J35" s="760" t="s">
        <v>918</v>
      </c>
      <c r="K35" s="760"/>
      <c r="L35" s="761"/>
      <c r="M35" s="764">
        <v>1</v>
      </c>
      <c r="N35" s="765"/>
      <c r="O35" s="736"/>
      <c r="P35" s="60" t="s">
        <v>2</v>
      </c>
      <c r="Q35" s="81"/>
      <c r="R35" s="766" t="str">
        <f>IF(AND(Q35&lt;&gt;"",Q36&lt;&gt;"",Q35=0,Q36=0),Berechnung1!$H$4,IF(ISERROR(Q37),Berechnung1!$G$4,IF(Q37="",Berechnung1!$D$4,IF(Q37=Berechnung1!D56,Berechnung1!$F$4,IF(OR(Q37&lt;Berechnung1!E56,Q37&gt;Berechnung1!F56),Berechnung1!$G$4,IF(OR(ROUND(Q37,4)&lt;Berechnung1!J56,ROUND(Q37,4)&gt;Berechnung1!K56),Berechnung1!$D$4,IF(OR(ROUND(Q37,4)&lt;Berechnung1!G56,ROUND(Q37,4)&gt;Berechnung1!H56),Berechnung1!$E$4,Berechnung1!$C$4)))))))</f>
        <v>Unvollständig</v>
      </c>
      <c r="S35" s="767"/>
      <c r="T35" s="721"/>
      <c r="U35" s="365">
        <f>IF(Basisdaten!O47="",0,Basisdaten!O47)</f>
        <v>0</v>
      </c>
    </row>
    <row r="36" spans="2:21" ht="33.75" customHeight="1" thickBot="1" x14ac:dyDescent="0.25">
      <c r="B36" s="853"/>
      <c r="C36" s="842"/>
      <c r="D36" s="749"/>
      <c r="E36" s="752"/>
      <c r="F36" s="756"/>
      <c r="G36" s="757"/>
      <c r="H36" s="756"/>
      <c r="I36" s="757"/>
      <c r="J36" s="760"/>
      <c r="K36" s="760"/>
      <c r="L36" s="762"/>
      <c r="M36" s="765"/>
      <c r="N36" s="765"/>
      <c r="O36" s="737"/>
      <c r="P36" s="60" t="s">
        <v>4</v>
      </c>
      <c r="Q36" s="147">
        <f>IF(Basisdaten!O45="",0,IF(Basisdaten!O46="",0,(Basisdaten!O45+Basisdaten!O46)))</f>
        <v>0</v>
      </c>
      <c r="R36" s="716"/>
      <c r="S36" s="768"/>
      <c r="T36" s="722"/>
    </row>
    <row r="37" spans="2:21" ht="33.75" customHeight="1" thickBot="1" x14ac:dyDescent="0.25">
      <c r="B37" s="854"/>
      <c r="C37" s="843"/>
      <c r="D37" s="750"/>
      <c r="E37" s="753"/>
      <c r="F37" s="758"/>
      <c r="G37" s="759"/>
      <c r="H37" s="758"/>
      <c r="I37" s="759"/>
      <c r="J37" s="760"/>
      <c r="K37" s="760"/>
      <c r="L37" s="763"/>
      <c r="M37" s="765"/>
      <c r="N37" s="765"/>
      <c r="O37" s="738"/>
      <c r="P37" s="60" t="s">
        <v>5</v>
      </c>
      <c r="Q37" s="269" t="str">
        <f>IF(Q35="","n.d.",IF(AND(Q35=0,Q36=0),"",Q35/Q36))</f>
        <v>n.d.</v>
      </c>
      <c r="R37" s="717"/>
      <c r="S37" s="768"/>
      <c r="T37" s="722"/>
    </row>
    <row r="38" spans="2:21" s="59" customFormat="1" ht="32.25" customHeight="1" thickBot="1" x14ac:dyDescent="0.25">
      <c r="B38" s="769">
        <v>4</v>
      </c>
      <c r="C38" s="770"/>
      <c r="D38" s="723" t="s">
        <v>714</v>
      </c>
      <c r="E38" s="776" t="s">
        <v>470</v>
      </c>
      <c r="F38" s="776" t="s">
        <v>744</v>
      </c>
      <c r="G38" s="779"/>
      <c r="H38" s="776" t="s">
        <v>669</v>
      </c>
      <c r="I38" s="779"/>
      <c r="J38" s="776" t="s">
        <v>919</v>
      </c>
      <c r="K38" s="779"/>
      <c r="L38" s="736" t="s">
        <v>364</v>
      </c>
      <c r="M38" s="777" t="s">
        <v>465</v>
      </c>
      <c r="N38" s="778"/>
      <c r="O38" s="736"/>
      <c r="P38" s="60" t="s">
        <v>2</v>
      </c>
      <c r="Q38" s="361">
        <f>IF(Basisdaten!D33="",0,Basisdaten!D33)</f>
        <v>0</v>
      </c>
      <c r="R38" s="766" t="str">
        <f>IF(Q40=Berechnung1!D59,Berechnung1!$F$4,IF(OR(Q40&lt; Berechnung1!E59,Q40&gt; Berechnung1!F59),Berechnung1!$G$4,IF(OR(ROUND(Q40,4)&lt;Berechnung1!J59,ROUND(Q40,4)&gt;Berechnung1!K59),Berechnung1!$D$4,IF(OR(ROUND(Q40,4)&lt;Berechnung1!G59,ROUND(Q40,4)&gt;Berechnung1!H59),Berechnung1!$E$4,Berechnung1!$C$4))))</f>
        <v>Unvollständig</v>
      </c>
      <c r="S38" s="721"/>
      <c r="T38" s="795"/>
      <c r="U38" s="418"/>
    </row>
    <row r="39" spans="2:21" s="58" customFormat="1" ht="32.25" customHeight="1" thickBot="1" x14ac:dyDescent="0.25">
      <c r="B39" s="771"/>
      <c r="C39" s="772"/>
      <c r="D39" s="724"/>
      <c r="E39" s="776"/>
      <c r="F39" s="776"/>
      <c r="G39" s="779"/>
      <c r="H39" s="776"/>
      <c r="I39" s="779"/>
      <c r="J39" s="776"/>
      <c r="K39" s="779"/>
      <c r="L39" s="737"/>
      <c r="M39" s="777"/>
      <c r="N39" s="778"/>
      <c r="O39" s="737"/>
      <c r="P39" s="60" t="s">
        <v>4</v>
      </c>
      <c r="Q39" s="147">
        <f>IF(Basisdaten!O33="",0,Basisdaten!O33)</f>
        <v>0</v>
      </c>
      <c r="R39" s="716"/>
      <c r="S39" s="768"/>
      <c r="T39" s="796"/>
    </row>
    <row r="40" spans="2:21" s="58" customFormat="1" ht="32.25" customHeight="1" thickBot="1" x14ac:dyDescent="0.25">
      <c r="B40" s="773"/>
      <c r="C40" s="774"/>
      <c r="D40" s="725"/>
      <c r="E40" s="776"/>
      <c r="F40" s="776"/>
      <c r="G40" s="779"/>
      <c r="H40" s="776"/>
      <c r="I40" s="779"/>
      <c r="J40" s="776"/>
      <c r="K40" s="779"/>
      <c r="L40" s="738"/>
      <c r="M40" s="777"/>
      <c r="N40" s="778"/>
      <c r="O40" s="738"/>
      <c r="P40" s="60" t="s">
        <v>5</v>
      </c>
      <c r="Q40" s="269" t="str">
        <f>IF(OR(Q38="",Q39=""),"n.d.",IF(AND(Q38=0,Q39=0),"n.d.",IF(Q39=0,"",Q38/Q39)))</f>
        <v>n.d.</v>
      </c>
      <c r="R40" s="717"/>
      <c r="S40" s="768"/>
      <c r="T40" s="797"/>
    </row>
    <row r="41" spans="2:21" s="58" customFormat="1" ht="32.25" customHeight="1" thickBot="1" x14ac:dyDescent="0.25">
      <c r="B41" s="769">
        <v>5</v>
      </c>
      <c r="C41" s="770"/>
      <c r="D41" s="775" t="s">
        <v>714</v>
      </c>
      <c r="E41" s="726" t="s">
        <v>631</v>
      </c>
      <c r="F41" s="735" t="s">
        <v>745</v>
      </c>
      <c r="G41" s="730"/>
      <c r="H41" s="735" t="s">
        <v>923</v>
      </c>
      <c r="I41" s="730"/>
      <c r="J41" s="735" t="s">
        <v>931</v>
      </c>
      <c r="K41" s="730"/>
      <c r="L41" s="761"/>
      <c r="M41" s="739" t="s">
        <v>565</v>
      </c>
      <c r="N41" s="740"/>
      <c r="O41" s="789"/>
      <c r="P41" s="60" t="s">
        <v>2</v>
      </c>
      <c r="Q41" s="81"/>
      <c r="R41" s="766" t="str">
        <f>IF(AND(Q41&lt;&gt;"",Q42&lt;&gt;"",Q41=0,Q42=0),Berechnung1!$H$4,IF(ISERROR(Q43),Berechnung1!$G$4,IF(Q43="",Berechnung1!$D$4,IF(Q43=Berechnung1!D62,Berechnung1!$F$4,IF(OR(Q43&lt;Berechnung1!E62,Q43&gt;Berechnung1!F62),Berechnung1!$G$4,IF(OR(ROUND(Q43,4)&lt;Berechnung1!J62,ROUND(Q43,4)&gt;Berechnung1!K62),Berechnung1!$D$4,IF(OR(ROUND(Q43,4)&lt;Berechnung1!G62,ROUND(Q43,4)&gt;Berechnung1!H62),Berechnung1!$E$4,Berechnung1!$C$4)))))))</f>
        <v>Unvollständig</v>
      </c>
      <c r="S41" s="718"/>
      <c r="T41" s="721"/>
    </row>
    <row r="42" spans="2:21" s="58" customFormat="1" ht="32.25" customHeight="1" thickBot="1" x14ac:dyDescent="0.25">
      <c r="B42" s="771"/>
      <c r="C42" s="772"/>
      <c r="D42" s="724"/>
      <c r="E42" s="727"/>
      <c r="F42" s="731"/>
      <c r="G42" s="732"/>
      <c r="H42" s="731"/>
      <c r="I42" s="732"/>
      <c r="J42" s="731"/>
      <c r="K42" s="732"/>
      <c r="L42" s="762"/>
      <c r="M42" s="741"/>
      <c r="N42" s="742"/>
      <c r="O42" s="790"/>
      <c r="P42" s="60" t="s">
        <v>4</v>
      </c>
      <c r="Q42" s="147">
        <f>IF(Basisdaten!I35="",0,Basisdaten!I35)</f>
        <v>0</v>
      </c>
      <c r="R42" s="716"/>
      <c r="S42" s="719"/>
      <c r="T42" s="799"/>
    </row>
    <row r="43" spans="2:21" s="58" customFormat="1" ht="32.25" customHeight="1" thickBot="1" x14ac:dyDescent="0.25">
      <c r="B43" s="773"/>
      <c r="C43" s="774"/>
      <c r="D43" s="725"/>
      <c r="E43" s="728"/>
      <c r="F43" s="733"/>
      <c r="G43" s="734"/>
      <c r="H43" s="733"/>
      <c r="I43" s="734"/>
      <c r="J43" s="733"/>
      <c r="K43" s="734"/>
      <c r="L43" s="763"/>
      <c r="M43" s="743"/>
      <c r="N43" s="744"/>
      <c r="O43" s="791"/>
      <c r="P43" s="60" t="s">
        <v>5</v>
      </c>
      <c r="Q43" s="269" t="str">
        <f>IF(Q41="","n.d.",IF(AND(Q41=0,Q42=0),"",Q41/Q42))</f>
        <v>n.d.</v>
      </c>
      <c r="R43" s="717"/>
      <c r="S43" s="720"/>
      <c r="T43" s="800"/>
    </row>
    <row r="44" spans="2:21" ht="35.1" customHeight="1" thickBot="1" x14ac:dyDescent="0.25">
      <c r="B44" s="780" t="s">
        <v>925</v>
      </c>
      <c r="C44" s="781"/>
      <c r="D44" s="748" t="s">
        <v>247</v>
      </c>
      <c r="E44" s="751" t="s">
        <v>832</v>
      </c>
      <c r="F44" s="760" t="s">
        <v>924</v>
      </c>
      <c r="G44" s="792"/>
      <c r="H44" s="760" t="s">
        <v>833</v>
      </c>
      <c r="I44" s="792"/>
      <c r="J44" s="760" t="s">
        <v>962</v>
      </c>
      <c r="K44" s="792"/>
      <c r="L44" s="761"/>
      <c r="M44" s="765" t="s">
        <v>834</v>
      </c>
      <c r="N44" s="765"/>
      <c r="O44" s="761"/>
      <c r="P44" s="127" t="s">
        <v>2</v>
      </c>
      <c r="Q44" s="129"/>
      <c r="R44" s="766" t="str">
        <f>IF(Q46=Berechnung1!D65,Berechnung1!$F$4,IF(OR(Q46&lt; Berechnung1!E65,Q46&gt; Berechnung1!F65),Berechnung1!$G$4,IF(OR(ROUND(Q46,4)&lt;Berechnung1!J65,ROUND(Q46,4)&gt;Berechnung1!K65),Berechnung1!$D$4,IF(OR(ROUND(Q46,4)&lt;Berechnung1!G65,ROUND(Q46,4)&gt;Berechnung1!H65),Berechnung1!$E$4,Berechnung1!$C$4))))</f>
        <v>Unvollständig</v>
      </c>
      <c r="S44" s="718"/>
      <c r="T44" s="798"/>
    </row>
    <row r="45" spans="2:21" ht="35.1" customHeight="1" thickBot="1" x14ac:dyDescent="0.25">
      <c r="B45" s="782"/>
      <c r="C45" s="783"/>
      <c r="D45" s="749"/>
      <c r="E45" s="752"/>
      <c r="F45" s="760"/>
      <c r="G45" s="792"/>
      <c r="H45" s="760"/>
      <c r="I45" s="792"/>
      <c r="J45" s="760"/>
      <c r="K45" s="792"/>
      <c r="L45" s="762"/>
      <c r="M45" s="765"/>
      <c r="N45" s="765"/>
      <c r="O45" s="762"/>
      <c r="P45" s="127" t="s">
        <v>4</v>
      </c>
      <c r="Q45" s="128">
        <f>IF(OR(Q8="",Q20=""),0,(Q8+Q20))</f>
        <v>0</v>
      </c>
      <c r="R45" s="716"/>
      <c r="S45" s="768"/>
      <c r="T45" s="722"/>
    </row>
    <row r="46" spans="2:21" ht="35.1" customHeight="1" thickBot="1" x14ac:dyDescent="0.25">
      <c r="B46" s="784"/>
      <c r="C46" s="785"/>
      <c r="D46" s="750"/>
      <c r="E46" s="753"/>
      <c r="F46" s="760"/>
      <c r="G46" s="792"/>
      <c r="H46" s="760"/>
      <c r="I46" s="792"/>
      <c r="J46" s="760"/>
      <c r="K46" s="792"/>
      <c r="L46" s="763"/>
      <c r="M46" s="765"/>
      <c r="N46" s="765"/>
      <c r="O46" s="763"/>
      <c r="P46" s="127" t="s">
        <v>5</v>
      </c>
      <c r="Q46" s="270" t="str">
        <f>IF(Q44="","n.d.",IF(Q45="","n.d.",IF(Q45=0,"",Q44/Q45)))</f>
        <v>n.d.</v>
      </c>
      <c r="R46" s="717"/>
      <c r="S46" s="768"/>
      <c r="T46" s="722"/>
    </row>
    <row r="47" spans="2:21" s="58" customFormat="1" ht="35.1" customHeight="1" thickBot="1" x14ac:dyDescent="0.25">
      <c r="B47" s="769">
        <v>7</v>
      </c>
      <c r="C47" s="770"/>
      <c r="D47" s="723" t="s">
        <v>729</v>
      </c>
      <c r="E47" s="776" t="s">
        <v>9</v>
      </c>
      <c r="F47" s="776" t="s">
        <v>10</v>
      </c>
      <c r="G47" s="779"/>
      <c r="H47" s="776" t="s">
        <v>740</v>
      </c>
      <c r="I47" s="779"/>
      <c r="J47" s="760" t="s">
        <v>926</v>
      </c>
      <c r="K47" s="792"/>
      <c r="L47" s="736" t="s">
        <v>371</v>
      </c>
      <c r="M47" s="777" t="s">
        <v>465</v>
      </c>
      <c r="N47" s="778"/>
      <c r="O47" s="794"/>
      <c r="P47" s="60" t="s">
        <v>2</v>
      </c>
      <c r="Q47" s="81"/>
      <c r="R47" s="766" t="str">
        <f>IF(Q49=Berechnung1!D68,Berechnung1!$F$4,IF(OR(Q49&lt; Berechnung1!E68,Q49&gt; Berechnung1!F68),Berechnung1!$G$4,IF(OR(ROUND(Q49,4)&lt;Berechnung1!J68,ROUND(Q49,4)&gt;Berechnung1!K68),Berechnung1!$D$4,IF(OR(ROUND(Q49,4)&lt;Berechnung1!G68,ROUND(Q49,4)&gt;Berechnung1!H68),Berechnung1!$E$4,Berechnung1!$C$4))))</f>
        <v>Unvollständig</v>
      </c>
      <c r="S47" s="767"/>
      <c r="T47" s="795"/>
    </row>
    <row r="48" spans="2:21" s="58" customFormat="1" ht="35.1" customHeight="1" thickBot="1" x14ac:dyDescent="0.25">
      <c r="B48" s="771"/>
      <c r="C48" s="772"/>
      <c r="D48" s="724"/>
      <c r="E48" s="776"/>
      <c r="F48" s="776"/>
      <c r="G48" s="779"/>
      <c r="H48" s="776"/>
      <c r="I48" s="779"/>
      <c r="J48" s="760"/>
      <c r="K48" s="792"/>
      <c r="L48" s="737"/>
      <c r="M48" s="777"/>
      <c r="N48" s="778"/>
      <c r="O48" s="737"/>
      <c r="P48" s="60" t="s">
        <v>4</v>
      </c>
      <c r="Q48" s="61">
        <f>Q45</f>
        <v>0</v>
      </c>
      <c r="R48" s="716"/>
      <c r="S48" s="768"/>
      <c r="T48" s="796"/>
    </row>
    <row r="49" spans="2:21" s="58" customFormat="1" ht="35.1" customHeight="1" thickBot="1" x14ac:dyDescent="0.25">
      <c r="B49" s="773"/>
      <c r="C49" s="774"/>
      <c r="D49" s="725"/>
      <c r="E49" s="776"/>
      <c r="F49" s="776"/>
      <c r="G49" s="779"/>
      <c r="H49" s="776"/>
      <c r="I49" s="779"/>
      <c r="J49" s="760"/>
      <c r="K49" s="792"/>
      <c r="L49" s="738"/>
      <c r="M49" s="777"/>
      <c r="N49" s="778"/>
      <c r="O49" s="738"/>
      <c r="P49" s="60" t="s">
        <v>5</v>
      </c>
      <c r="Q49" s="269" t="str">
        <f>IF(Q47="","n.d.",IF(Q48="","n.d.",IF(Q48=0,"",Q47/Q48)))</f>
        <v>n.d.</v>
      </c>
      <c r="R49" s="717"/>
      <c r="S49" s="768"/>
      <c r="T49" s="797"/>
    </row>
    <row r="50" spans="2:21" ht="32.25" customHeight="1" thickBot="1" x14ac:dyDescent="0.25">
      <c r="B50" s="769">
        <v>8</v>
      </c>
      <c r="C50" s="770"/>
      <c r="D50" s="723" t="s">
        <v>248</v>
      </c>
      <c r="E50" s="776" t="s">
        <v>741</v>
      </c>
      <c r="F50" s="776" t="s">
        <v>788</v>
      </c>
      <c r="G50" s="779"/>
      <c r="H50" s="776" t="s">
        <v>742</v>
      </c>
      <c r="I50" s="779"/>
      <c r="J50" s="776" t="s">
        <v>483</v>
      </c>
      <c r="K50" s="779"/>
      <c r="L50" s="736"/>
      <c r="M50" s="777" t="s">
        <v>250</v>
      </c>
      <c r="N50" s="778"/>
      <c r="O50" s="736"/>
      <c r="P50" s="60" t="s">
        <v>2</v>
      </c>
      <c r="Q50" s="61">
        <f>Studien!E5</f>
        <v>0</v>
      </c>
      <c r="R50" s="766" t="str">
        <f>IF(Q52=Berechnung1!D71,Berechnung1!$F$4,IF(OR(Q52&lt; Berechnung1!E71,Q52&gt; Berechnung1!F71),Berechnung1!$G$4,IF(OR(ROUND(Q52,4)&lt;Berechnung1!J71,ROUND(Q52,4)&gt;Berechnung1!K71),Berechnung1!$D$4,IF(OR(ROUND(Q52,4)&lt;Berechnung1!G71,ROUND(Q52,4)&gt;Berechnung1!H71),Berechnung1!$E$4,Berechnung1!$C$4))))</f>
        <v>Unvollständig</v>
      </c>
      <c r="S50" s="767"/>
      <c r="T50" s="721"/>
    </row>
    <row r="51" spans="2:21" ht="32.25" customHeight="1" thickBot="1" x14ac:dyDescent="0.25">
      <c r="B51" s="771"/>
      <c r="C51" s="772"/>
      <c r="D51" s="724"/>
      <c r="E51" s="776"/>
      <c r="F51" s="776"/>
      <c r="G51" s="779"/>
      <c r="H51" s="776"/>
      <c r="I51" s="779"/>
      <c r="J51" s="776"/>
      <c r="K51" s="779"/>
      <c r="L51" s="737"/>
      <c r="M51" s="777"/>
      <c r="N51" s="778"/>
      <c r="O51" s="737"/>
      <c r="P51" s="60" t="s">
        <v>4</v>
      </c>
      <c r="Q51" s="61">
        <f>Q8</f>
        <v>0</v>
      </c>
      <c r="R51" s="716"/>
      <c r="S51" s="768"/>
      <c r="T51" s="722"/>
    </row>
    <row r="52" spans="2:21" ht="32.25" customHeight="1" thickBot="1" x14ac:dyDescent="0.25">
      <c r="B52" s="773"/>
      <c r="C52" s="774"/>
      <c r="D52" s="725"/>
      <c r="E52" s="776"/>
      <c r="F52" s="776"/>
      <c r="G52" s="779"/>
      <c r="H52" s="776"/>
      <c r="I52" s="779"/>
      <c r="J52" s="776"/>
      <c r="K52" s="779"/>
      <c r="L52" s="738"/>
      <c r="M52" s="777"/>
      <c r="N52" s="778"/>
      <c r="O52" s="738"/>
      <c r="P52" s="60" t="s">
        <v>5</v>
      </c>
      <c r="Q52" s="269" t="str">
        <f>IF(Q50="0","n.d.",IF(Q51="","n.d.",IF(Q51=0,"n.d.",Q50/Q51)))</f>
        <v>n.d.</v>
      </c>
      <c r="R52" s="717"/>
      <c r="S52" s="768"/>
      <c r="T52" s="722"/>
    </row>
    <row r="53" spans="2:21" ht="32.25" customHeight="1" thickBot="1" x14ac:dyDescent="0.25">
      <c r="B53" s="769">
        <v>9</v>
      </c>
      <c r="C53" s="770"/>
      <c r="D53" s="723" t="s">
        <v>249</v>
      </c>
      <c r="E53" s="776" t="s">
        <v>835</v>
      </c>
      <c r="F53" s="776" t="s">
        <v>7</v>
      </c>
      <c r="G53" s="779"/>
      <c r="H53" s="776" t="s">
        <v>927</v>
      </c>
      <c r="I53" s="779"/>
      <c r="J53" s="729" t="s">
        <v>350</v>
      </c>
      <c r="K53" s="786"/>
      <c r="L53" s="736"/>
      <c r="M53" s="765" t="s">
        <v>633</v>
      </c>
      <c r="N53" s="765"/>
      <c r="O53" s="736"/>
      <c r="P53" s="793" t="s">
        <v>8</v>
      </c>
      <c r="Q53" s="712">
        <f>IF(Basisdaten!O53="",0,Basisdaten!O53)</f>
        <v>0</v>
      </c>
      <c r="R53" s="766" t="str">
        <f>IF(Q53="",Berechnung1!$F$4,IF(Q53=0, Berechnung1!F4,IF(OR(Q53&lt; Berechnung1!E74,Q53&gt; Berechnung1!F74),Berechnung1!$G$4,IF(OR(ROUND(Q53,4)&lt;Berechnung1!J74,ROUND(Q53,4)&gt;Berechnung1!K74),Berechnung1!$D$4,IF(OR(ROUND(Q53,4)&lt;Berechnung1!G74,ROUND(Q53,4)&gt;Berechnung1!H74),Berechnung1!$E$4,Berechnung1!$C$4)))))</f>
        <v>Unvollständig</v>
      </c>
      <c r="S53" s="767"/>
      <c r="T53" s="721"/>
    </row>
    <row r="54" spans="2:21" ht="32.25" customHeight="1" thickBot="1" x14ac:dyDescent="0.25">
      <c r="B54" s="771"/>
      <c r="C54" s="772"/>
      <c r="D54" s="724"/>
      <c r="E54" s="776"/>
      <c r="F54" s="776"/>
      <c r="G54" s="779"/>
      <c r="H54" s="776"/>
      <c r="I54" s="779"/>
      <c r="J54" s="731"/>
      <c r="K54" s="787"/>
      <c r="L54" s="737"/>
      <c r="M54" s="765"/>
      <c r="N54" s="765"/>
      <c r="O54" s="737"/>
      <c r="P54" s="793"/>
      <c r="Q54" s="713"/>
      <c r="R54" s="716"/>
      <c r="S54" s="768"/>
      <c r="T54" s="722"/>
    </row>
    <row r="55" spans="2:21" ht="32.25" customHeight="1" thickBot="1" x14ac:dyDescent="0.25">
      <c r="B55" s="773"/>
      <c r="C55" s="774"/>
      <c r="D55" s="725"/>
      <c r="E55" s="776"/>
      <c r="F55" s="776"/>
      <c r="G55" s="779"/>
      <c r="H55" s="776"/>
      <c r="I55" s="779"/>
      <c r="J55" s="733"/>
      <c r="K55" s="788"/>
      <c r="L55" s="738"/>
      <c r="M55" s="765"/>
      <c r="N55" s="765"/>
      <c r="O55" s="738"/>
      <c r="P55" s="793"/>
      <c r="Q55" s="714"/>
      <c r="R55" s="717"/>
      <c r="S55" s="768"/>
      <c r="T55" s="722"/>
    </row>
    <row r="56" spans="2:21" ht="35.1" customHeight="1" thickBot="1" x14ac:dyDescent="0.25">
      <c r="B56" s="780">
        <v>10</v>
      </c>
      <c r="C56" s="781"/>
      <c r="D56" s="748"/>
      <c r="E56" s="760" t="s">
        <v>790</v>
      </c>
      <c r="F56" s="760" t="s">
        <v>791</v>
      </c>
      <c r="G56" s="792"/>
      <c r="H56" s="760" t="s">
        <v>671</v>
      </c>
      <c r="I56" s="792"/>
      <c r="J56" s="760" t="s">
        <v>789</v>
      </c>
      <c r="K56" s="792"/>
      <c r="L56" s="761"/>
      <c r="M56" s="765" t="s">
        <v>670</v>
      </c>
      <c r="N56" s="765"/>
      <c r="O56" s="761"/>
      <c r="P56" s="60" t="s">
        <v>2</v>
      </c>
      <c r="Q56" s="81"/>
      <c r="R56" s="766" t="str">
        <f>IF(AND(Q56&lt;&gt;"",Q57&lt;&gt;"",Q56=0,Q57=0),Berechnung1!$H$4,IF(Q58="",Berechnung1!$D$4,IF(Q58=Berechnung1!D77,Berechnung1!$F$4,IF(OR(Q58&lt;Berechnung1!E77,Q58&gt;Berechnung1!F77),Berechnung1!$G$4,IF(OR(ROUND(Q58,4)&lt;Berechnung1!J77,ROUND(Q58,4)&gt;Berechnung1!K77),Berechnung1!$D$4,IF(OR(ROUND(Q58,4)&lt;Berechnung1!G77,ROUND(Q58,4)&gt;Berechnung1!H77),Berechnung1!$E$4,Berechnung1!$C$4))))))</f>
        <v>Unvollständig</v>
      </c>
      <c r="S56" s="767"/>
      <c r="T56" s="721"/>
    </row>
    <row r="57" spans="2:21" ht="35.1" customHeight="1" thickBot="1" x14ac:dyDescent="0.25">
      <c r="B57" s="782"/>
      <c r="C57" s="783"/>
      <c r="D57" s="749"/>
      <c r="E57" s="760"/>
      <c r="F57" s="760"/>
      <c r="G57" s="792"/>
      <c r="H57" s="760"/>
      <c r="I57" s="792"/>
      <c r="J57" s="760"/>
      <c r="K57" s="792"/>
      <c r="L57" s="762"/>
      <c r="M57" s="765"/>
      <c r="N57" s="765"/>
      <c r="O57" s="762"/>
      <c r="P57" s="60" t="s">
        <v>4</v>
      </c>
      <c r="Q57" s="81"/>
      <c r="R57" s="716"/>
      <c r="S57" s="768"/>
      <c r="T57" s="722"/>
      <c r="U57" s="3">
        <f>SUM(Basisdaten!F40:H40)</f>
        <v>0</v>
      </c>
    </row>
    <row r="58" spans="2:21" ht="35.1" customHeight="1" thickBot="1" x14ac:dyDescent="0.25">
      <c r="B58" s="784"/>
      <c r="C58" s="785"/>
      <c r="D58" s="750"/>
      <c r="E58" s="760"/>
      <c r="F58" s="760"/>
      <c r="G58" s="792"/>
      <c r="H58" s="760"/>
      <c r="I58" s="792"/>
      <c r="J58" s="760"/>
      <c r="K58" s="792"/>
      <c r="L58" s="763"/>
      <c r="M58" s="765"/>
      <c r="N58" s="765"/>
      <c r="O58" s="763"/>
      <c r="P58" s="60" t="s">
        <v>5</v>
      </c>
      <c r="Q58" s="269" t="str">
        <f>IF(Q56="","n.d.",IF(Q57="","n.d.",IF(AND(Q56=0,Q57=0),"",Q56/Q57)))</f>
        <v>n.d.</v>
      </c>
      <c r="R58" s="717"/>
      <c r="S58" s="768"/>
      <c r="T58" s="722"/>
    </row>
    <row r="59" spans="2:21" ht="35.1" customHeight="1" thickBot="1" x14ac:dyDescent="0.25">
      <c r="B59" s="780">
        <v>11</v>
      </c>
      <c r="C59" s="781"/>
      <c r="D59" s="748"/>
      <c r="E59" s="760" t="s">
        <v>235</v>
      </c>
      <c r="F59" s="760" t="s">
        <v>507</v>
      </c>
      <c r="G59" s="792"/>
      <c r="H59" s="760" t="s">
        <v>672</v>
      </c>
      <c r="I59" s="792"/>
      <c r="J59" s="760" t="s">
        <v>484</v>
      </c>
      <c r="K59" s="792"/>
      <c r="L59" s="761" t="s">
        <v>529</v>
      </c>
      <c r="M59" s="765" t="s">
        <v>465</v>
      </c>
      <c r="N59" s="765"/>
      <c r="O59" s="761" t="s">
        <v>530</v>
      </c>
      <c r="P59" s="60" t="s">
        <v>2</v>
      </c>
      <c r="Q59" s="147">
        <f>IF(Basisdaten!I40="",0,Basisdaten!I40)</f>
        <v>0</v>
      </c>
      <c r="R59" s="766" t="str">
        <f>IF(Q61=Berechnung1!D80,Berechnung1!$F$4,IF(OR(Q61&lt; Berechnung1!E80,Q61&gt; Berechnung1!F80),Berechnung1!$G$4,IF(OR(ROUND(Q61,4)&lt;Berechnung1!J80,ROUND(Q61,4)&gt;Berechnung1!K80),Berechnung1!$D$4,IF(OR(ROUND(Q61,4)&lt;Berechnung1!G80,ROUND(Q61,4)&gt;Berechnung1!H80),Berechnung1!$E$4,Berechnung1!$C$4))))</f>
        <v>Unvollständig</v>
      </c>
      <c r="S59" s="721"/>
      <c r="T59" s="721"/>
    </row>
    <row r="60" spans="2:21" ht="35.1" customHeight="1" thickBot="1" x14ac:dyDescent="0.25">
      <c r="B60" s="782"/>
      <c r="C60" s="783"/>
      <c r="D60" s="749"/>
      <c r="E60" s="760"/>
      <c r="F60" s="760"/>
      <c r="G60" s="792"/>
      <c r="H60" s="760"/>
      <c r="I60" s="792"/>
      <c r="J60" s="760"/>
      <c r="K60" s="792"/>
      <c r="L60" s="762"/>
      <c r="M60" s="765"/>
      <c r="N60" s="765"/>
      <c r="O60" s="762"/>
      <c r="P60" s="60" t="s">
        <v>4</v>
      </c>
      <c r="Q60" s="61">
        <f>Q8</f>
        <v>0</v>
      </c>
      <c r="R60" s="716"/>
      <c r="S60" s="768"/>
      <c r="T60" s="722"/>
    </row>
    <row r="61" spans="2:21" ht="35.1" customHeight="1" thickBot="1" x14ac:dyDescent="0.25">
      <c r="B61" s="784"/>
      <c r="C61" s="785"/>
      <c r="D61" s="750"/>
      <c r="E61" s="760"/>
      <c r="F61" s="760"/>
      <c r="G61" s="792"/>
      <c r="H61" s="760"/>
      <c r="I61" s="792"/>
      <c r="J61" s="760"/>
      <c r="K61" s="792"/>
      <c r="L61" s="763"/>
      <c r="M61" s="765"/>
      <c r="N61" s="765"/>
      <c r="O61" s="763"/>
      <c r="P61" s="60" t="s">
        <v>5</v>
      </c>
      <c r="Q61" s="269" t="str">
        <f>IF(Q59="",0,IF(Q60=0,"n.d.",Q59/Q60))</f>
        <v>n.d.</v>
      </c>
      <c r="R61" s="717"/>
      <c r="S61" s="768"/>
      <c r="T61" s="722"/>
    </row>
    <row r="62" spans="2:21" ht="35.1" customHeight="1" thickBot="1" x14ac:dyDescent="0.25">
      <c r="B62" s="780">
        <v>12</v>
      </c>
      <c r="C62" s="781"/>
      <c r="D62" s="748"/>
      <c r="E62" s="760" t="s">
        <v>466</v>
      </c>
      <c r="F62" s="760" t="s">
        <v>560</v>
      </c>
      <c r="G62" s="792"/>
      <c r="H62" s="760" t="s">
        <v>673</v>
      </c>
      <c r="I62" s="792"/>
      <c r="J62" s="760" t="s">
        <v>674</v>
      </c>
      <c r="K62" s="792"/>
      <c r="L62" s="761"/>
      <c r="M62" s="765" t="s">
        <v>593</v>
      </c>
      <c r="N62" s="765"/>
      <c r="O62" s="761"/>
      <c r="P62" s="127" t="s">
        <v>2</v>
      </c>
      <c r="Q62" s="129"/>
      <c r="R62" s="766" t="str">
        <f>IF(AND(Q62&lt;&gt;"",Q63&lt;&gt;"",Q62=0,Q63=0),Berechnung1!$H$4,IF(ISERROR(Q64),Berechnung1!$G$4,IF(Q64="",Berechnung1!$D$4,IF(Q64=Berechnung1!D83,Berechnung1!$F$4,IF(OR(Q64&lt;Berechnung1!E83,Q64&gt;Berechnung1!F83),Berechnung1!$G$4,IF(OR(ROUND(Q64,4)&lt;Berechnung1!J83,ROUND(Q64,4)&gt;Berechnung1!K83),Berechnung1!$D$4,IF(OR(ROUND(Q64,4)&lt;Berechnung1!G83,ROUND(Q64,4)&gt;Berechnung1!H83),Berechnung1!$E$4,Berechnung1!$C$4)))))))</f>
        <v>Unvollständig</v>
      </c>
      <c r="S62" s="767"/>
      <c r="T62" s="721"/>
    </row>
    <row r="63" spans="2:21" ht="35.1" customHeight="1" thickBot="1" x14ac:dyDescent="0.25">
      <c r="B63" s="782"/>
      <c r="C63" s="783"/>
      <c r="D63" s="749"/>
      <c r="E63" s="760"/>
      <c r="F63" s="760"/>
      <c r="G63" s="792"/>
      <c r="H63" s="760"/>
      <c r="I63" s="792"/>
      <c r="J63" s="760"/>
      <c r="K63" s="792"/>
      <c r="L63" s="762"/>
      <c r="M63" s="765"/>
      <c r="N63" s="765"/>
      <c r="O63" s="762"/>
      <c r="P63" s="127" t="s">
        <v>4</v>
      </c>
      <c r="Q63" s="149"/>
      <c r="R63" s="716"/>
      <c r="S63" s="768"/>
      <c r="T63" s="722"/>
      <c r="U63" s="3" t="str">
        <f>Basisdaten!J40</f>
        <v/>
      </c>
    </row>
    <row r="64" spans="2:21" ht="35.1" customHeight="1" thickBot="1" x14ac:dyDescent="0.25">
      <c r="B64" s="784"/>
      <c r="C64" s="785"/>
      <c r="D64" s="750"/>
      <c r="E64" s="760"/>
      <c r="F64" s="760"/>
      <c r="G64" s="792"/>
      <c r="H64" s="760"/>
      <c r="I64" s="792"/>
      <c r="J64" s="760"/>
      <c r="K64" s="792"/>
      <c r="L64" s="763"/>
      <c r="M64" s="765"/>
      <c r="N64" s="765"/>
      <c r="O64" s="763"/>
      <c r="P64" s="127" t="s">
        <v>5</v>
      </c>
      <c r="Q64" s="269" t="str">
        <f>IF(Q62="","n.d.",IF(Q63="","n.d.",IF(AND(Q62=0,Q63=0),"",Q62/Q63)))</f>
        <v>n.d.</v>
      </c>
      <c r="R64" s="717"/>
      <c r="S64" s="768"/>
      <c r="T64" s="722"/>
    </row>
    <row r="65" spans="2:20" ht="35.1" customHeight="1" thickBot="1" x14ac:dyDescent="0.25">
      <c r="B65" s="780">
        <v>13</v>
      </c>
      <c r="C65" s="781"/>
      <c r="D65" s="748"/>
      <c r="E65" s="760" t="s">
        <v>269</v>
      </c>
      <c r="F65" s="760" t="s">
        <v>508</v>
      </c>
      <c r="G65" s="867"/>
      <c r="H65" s="760" t="s">
        <v>932</v>
      </c>
      <c r="I65" s="867"/>
      <c r="J65" s="760" t="s">
        <v>484</v>
      </c>
      <c r="K65" s="867"/>
      <c r="L65" s="761"/>
      <c r="M65" s="765" t="s">
        <v>465</v>
      </c>
      <c r="N65" s="765"/>
      <c r="O65" s="761"/>
      <c r="P65" s="127" t="s">
        <v>2</v>
      </c>
      <c r="Q65" s="128">
        <f>IF(Basisdaten!K40="",0,Basisdaten!K40)</f>
        <v>0</v>
      </c>
      <c r="R65" s="807" t="str">
        <f>IF(Q67=0,Berechnung1!$C$4,IF(Q67=Berechnung1!D86,Berechnung1!$F$4,IF(OR(Q67&lt; Berechnung1!E86,Q67&gt; Berechnung1!F86),Berechnung1!$F$4,IF(OR(ROUND(Q67,4)&lt;Berechnung1!J86,ROUND(Q67,4)&gt;Berechnung1!K86),Berechnung1!$D$4,IF(OR(ROUND(Q67,4)&lt;Berechnung1!G86,ROUND(Q67,4)&gt;Berechnung1!H86),Berechnung1!$E$4,Berechnung1!$C$4)))))</f>
        <v>Unvollständig</v>
      </c>
      <c r="S65" s="767"/>
      <c r="T65" s="795"/>
    </row>
    <row r="66" spans="2:20" ht="35.1" customHeight="1" thickBot="1" x14ac:dyDescent="0.25">
      <c r="B66" s="782"/>
      <c r="C66" s="783"/>
      <c r="D66" s="749"/>
      <c r="E66" s="760"/>
      <c r="F66" s="760"/>
      <c r="G66" s="867"/>
      <c r="H66" s="760"/>
      <c r="I66" s="867"/>
      <c r="J66" s="760"/>
      <c r="K66" s="867"/>
      <c r="L66" s="762"/>
      <c r="M66" s="765"/>
      <c r="N66" s="765"/>
      <c r="O66" s="762"/>
      <c r="P66" s="127" t="s">
        <v>4</v>
      </c>
      <c r="Q66" s="128">
        <f>Q8</f>
        <v>0</v>
      </c>
      <c r="R66" s="808"/>
      <c r="S66" s="768"/>
      <c r="T66" s="796"/>
    </row>
    <row r="67" spans="2:20" ht="35.1" customHeight="1" thickBot="1" x14ac:dyDescent="0.25">
      <c r="B67" s="784"/>
      <c r="C67" s="785"/>
      <c r="D67" s="750"/>
      <c r="E67" s="760"/>
      <c r="F67" s="760"/>
      <c r="G67" s="867"/>
      <c r="H67" s="760"/>
      <c r="I67" s="867"/>
      <c r="J67" s="760"/>
      <c r="K67" s="867"/>
      <c r="L67" s="763"/>
      <c r="M67" s="765"/>
      <c r="N67" s="765"/>
      <c r="O67" s="763"/>
      <c r="P67" s="127" t="s">
        <v>5</v>
      </c>
      <c r="Q67" s="270" t="str">
        <f>IF(Q65="","n.d.",IF(Q66="","n.d.",IF(Q66=0,"n.d.",Q65/Q66)))</f>
        <v>n.d.</v>
      </c>
      <c r="R67" s="809"/>
      <c r="S67" s="768"/>
      <c r="T67" s="797"/>
    </row>
    <row r="68" spans="2:20" ht="42" customHeight="1" thickBot="1" x14ac:dyDescent="0.25">
      <c r="B68" s="780">
        <v>14</v>
      </c>
      <c r="C68" s="781"/>
      <c r="D68" s="868" t="s">
        <v>714</v>
      </c>
      <c r="E68" s="751" t="s">
        <v>467</v>
      </c>
      <c r="F68" s="754" t="s">
        <v>468</v>
      </c>
      <c r="G68" s="755"/>
      <c r="H68" s="754" t="s">
        <v>933</v>
      </c>
      <c r="I68" s="755"/>
      <c r="J68" s="754" t="s">
        <v>675</v>
      </c>
      <c r="K68" s="755"/>
      <c r="L68" s="761"/>
      <c r="M68" s="801" t="s">
        <v>593</v>
      </c>
      <c r="N68" s="802"/>
      <c r="O68" s="789"/>
      <c r="P68" s="127" t="s">
        <v>2</v>
      </c>
      <c r="Q68" s="149"/>
      <c r="R68" s="766" t="str">
        <f>IF(AND(Q68&lt;&gt;"",Q69&lt;&gt;"",Q68=0,Q69=0),Berechnung1!$H$4,IF(Q70=Berechnung1!D89,Berechnung1!$F$4,IF(OR(Q70&lt;Berechnung1!E89,Q70&gt;Berechnung1!F89),Berechnung1!$G$4,IF(OR(ROUND(Q70,4)&lt;Berechnung1!J89,ROUND(Q70,4)&gt;Berechnung1!K89),Berechnung1!$D$4,IF(OR(ROUND(Q70,4)&lt;Berechnung1!G89,ROUND(Q70,4)&gt;Berechnung1!H89),Berechnung1!$E$4,Berechnung1!$C$4)))))</f>
        <v>Unvollständig</v>
      </c>
      <c r="S68" s="767"/>
      <c r="T68" s="721"/>
    </row>
    <row r="69" spans="2:20" s="7" customFormat="1" ht="42" customHeight="1" thickBot="1" x14ac:dyDescent="0.25">
      <c r="B69" s="782"/>
      <c r="C69" s="783"/>
      <c r="D69" s="749"/>
      <c r="E69" s="752"/>
      <c r="F69" s="756"/>
      <c r="G69" s="757"/>
      <c r="H69" s="756"/>
      <c r="I69" s="757"/>
      <c r="J69" s="756"/>
      <c r="K69" s="757"/>
      <c r="L69" s="762"/>
      <c r="M69" s="803"/>
      <c r="N69" s="804"/>
      <c r="O69" s="790"/>
      <c r="P69" s="127" t="s">
        <v>4</v>
      </c>
      <c r="Q69" s="149"/>
      <c r="R69" s="716"/>
      <c r="S69" s="799"/>
      <c r="T69" s="799"/>
    </row>
    <row r="70" spans="2:20" ht="42" customHeight="1" thickBot="1" x14ac:dyDescent="0.25">
      <c r="B70" s="784"/>
      <c r="C70" s="785"/>
      <c r="D70" s="750"/>
      <c r="E70" s="753"/>
      <c r="F70" s="758"/>
      <c r="G70" s="759"/>
      <c r="H70" s="758"/>
      <c r="I70" s="759"/>
      <c r="J70" s="758"/>
      <c r="K70" s="759"/>
      <c r="L70" s="763"/>
      <c r="M70" s="805"/>
      <c r="N70" s="806"/>
      <c r="O70" s="791"/>
      <c r="P70" s="127" t="s">
        <v>5</v>
      </c>
      <c r="Q70" s="269" t="str">
        <f>IF(Q68="","n.d.",IF(Q69="","n.d.",IF(Q69=0,"",Q68/Q69)))</f>
        <v>n.d.</v>
      </c>
      <c r="R70" s="717"/>
      <c r="S70" s="800"/>
      <c r="T70" s="800"/>
    </row>
    <row r="71" spans="2:20" ht="29.25" customHeight="1" thickBot="1" x14ac:dyDescent="0.25">
      <c r="B71" s="780">
        <v>15</v>
      </c>
      <c r="C71" s="781"/>
      <c r="D71" s="868" t="s">
        <v>714</v>
      </c>
      <c r="E71" s="751" t="s">
        <v>469</v>
      </c>
      <c r="F71" s="754" t="s">
        <v>468</v>
      </c>
      <c r="G71" s="755"/>
      <c r="H71" s="754" t="s">
        <v>676</v>
      </c>
      <c r="I71" s="755"/>
      <c r="J71" s="754" t="s">
        <v>677</v>
      </c>
      <c r="K71" s="755"/>
      <c r="L71" s="761"/>
      <c r="M71" s="801" t="s">
        <v>732</v>
      </c>
      <c r="N71" s="802"/>
      <c r="O71" s="789"/>
      <c r="P71" s="127" t="s">
        <v>2</v>
      </c>
      <c r="Q71" s="149"/>
      <c r="R71" s="766" t="str">
        <f>IF(AND(Q71&lt;&gt;"",Q72&lt;&gt;"",Q71=0,Q72=0),Berechnung1!$H$4,IF(Q73="",Berechnung1!$D$4,IF(Q73=Berechnung1!D92,Berechnung1!$F$4,IF(OR(Q73&lt;Berechnung1!E92,Q73&gt;Berechnung1!F92),Berechnung1!$G$4,IF(OR(ROUND(Q73,4)&lt;Berechnung1!J92,ROUND(Q73,4)&gt;Berechnung1!K92),Berechnung1!$D$4,IF(OR(ROUND(Q73,4)&lt;Berechnung1!G92,ROUND(Q73,4)&gt;Berechnung1!H92),Berechnung1!$E$4,Berechnung1!$C$4))))))</f>
        <v>Unvollständig</v>
      </c>
      <c r="S71" s="767"/>
      <c r="T71" s="767"/>
    </row>
    <row r="72" spans="2:20" s="7" customFormat="1" ht="29.25" customHeight="1" thickBot="1" x14ac:dyDescent="0.25">
      <c r="B72" s="782"/>
      <c r="C72" s="783"/>
      <c r="D72" s="749"/>
      <c r="E72" s="752"/>
      <c r="F72" s="756"/>
      <c r="G72" s="757"/>
      <c r="H72" s="756"/>
      <c r="I72" s="757"/>
      <c r="J72" s="756"/>
      <c r="K72" s="757"/>
      <c r="L72" s="762"/>
      <c r="M72" s="803"/>
      <c r="N72" s="804"/>
      <c r="O72" s="790"/>
      <c r="P72" s="127" t="s">
        <v>4</v>
      </c>
      <c r="Q72" s="394"/>
      <c r="R72" s="716"/>
      <c r="S72" s="799"/>
      <c r="T72" s="799"/>
    </row>
    <row r="73" spans="2:20" ht="29.25" customHeight="1" thickBot="1" x14ac:dyDescent="0.25">
      <c r="B73" s="784"/>
      <c r="C73" s="785"/>
      <c r="D73" s="750"/>
      <c r="E73" s="753"/>
      <c r="F73" s="758"/>
      <c r="G73" s="759"/>
      <c r="H73" s="758"/>
      <c r="I73" s="759"/>
      <c r="J73" s="758"/>
      <c r="K73" s="759"/>
      <c r="L73" s="763"/>
      <c r="M73" s="805"/>
      <c r="N73" s="806"/>
      <c r="O73" s="791"/>
      <c r="P73" s="127" t="s">
        <v>5</v>
      </c>
      <c r="Q73" s="269" t="str">
        <f>IF(Q71="","n.d.",IF(Q72="","n.d.",IF(Q72=0,"",Q71/Q72)))</f>
        <v>n.d.</v>
      </c>
      <c r="R73" s="717"/>
      <c r="S73" s="800"/>
      <c r="T73" s="800"/>
    </row>
    <row r="74" spans="2:20" ht="42" customHeight="1" thickBot="1" x14ac:dyDescent="0.25">
      <c r="B74" s="780">
        <v>16</v>
      </c>
      <c r="C74" s="781"/>
      <c r="D74" s="868" t="s">
        <v>714</v>
      </c>
      <c r="E74" s="751" t="s">
        <v>678</v>
      </c>
      <c r="F74" s="754" t="s">
        <v>471</v>
      </c>
      <c r="G74" s="755"/>
      <c r="H74" s="754" t="s">
        <v>934</v>
      </c>
      <c r="I74" s="755"/>
      <c r="J74" s="754" t="s">
        <v>733</v>
      </c>
      <c r="K74" s="755"/>
      <c r="L74" s="869"/>
      <c r="M74" s="764" t="s">
        <v>565</v>
      </c>
      <c r="N74" s="764"/>
      <c r="O74" s="870"/>
      <c r="P74" s="127" t="s">
        <v>2</v>
      </c>
      <c r="Q74" s="149"/>
      <c r="R74" s="766" t="str">
        <f>IF(AND(Q74&lt;&gt;"",Q75&lt;&gt;"",Q74=0,Q75=0),Berechnung1!$H$4,IF(Q76="",Berechnung1!$D$4,IF(Q76=Berechnung1!D95,Berechnung1!$F$4,IF(OR(Q76&lt;Berechnung1!E95,Q76&gt;Berechnung1!F95),Berechnung1!$G$4,IF(OR(ROUND(Q76,4)&lt;Berechnung1!J95,ROUND(Q76,4)&gt;Berechnung1!K95),Berechnung1!$D$4,IF(OR(ROUND(Q76,4)&lt;Berechnung1!G95,ROUND(Q76,4)&gt;Berechnung1!H95),Berechnung1!$E$4,Berechnung1!$C$4))))))</f>
        <v>Unvollständig</v>
      </c>
      <c r="S74" s="767"/>
      <c r="T74" s="721"/>
    </row>
    <row r="75" spans="2:20" s="7" customFormat="1" ht="42" customHeight="1" thickBot="1" x14ac:dyDescent="0.25">
      <c r="B75" s="782"/>
      <c r="C75" s="783"/>
      <c r="D75" s="749"/>
      <c r="E75" s="752"/>
      <c r="F75" s="756"/>
      <c r="G75" s="757"/>
      <c r="H75" s="756"/>
      <c r="I75" s="757"/>
      <c r="J75" s="756"/>
      <c r="K75" s="757"/>
      <c r="L75" s="762"/>
      <c r="M75" s="764"/>
      <c r="N75" s="764"/>
      <c r="O75" s="871"/>
      <c r="P75" s="127" t="s">
        <v>4</v>
      </c>
      <c r="Q75" s="394"/>
      <c r="R75" s="716"/>
      <c r="S75" s="799"/>
      <c r="T75" s="799"/>
    </row>
    <row r="76" spans="2:20" ht="42" customHeight="1" thickBot="1" x14ac:dyDescent="0.25">
      <c r="B76" s="784"/>
      <c r="C76" s="785"/>
      <c r="D76" s="750"/>
      <c r="E76" s="753"/>
      <c r="F76" s="758"/>
      <c r="G76" s="759"/>
      <c r="H76" s="758"/>
      <c r="I76" s="759"/>
      <c r="J76" s="758"/>
      <c r="K76" s="759"/>
      <c r="L76" s="763"/>
      <c r="M76" s="764"/>
      <c r="N76" s="764"/>
      <c r="O76" s="872"/>
      <c r="P76" s="127" t="s">
        <v>5</v>
      </c>
      <c r="Q76" s="269" t="str">
        <f>IF(Q74="","n.d.",IF(Q75="","n.d.",IF(Q75=0,"",Q74/Q75)))</f>
        <v>n.d.</v>
      </c>
      <c r="R76" s="717"/>
      <c r="S76" s="800"/>
      <c r="T76" s="800"/>
    </row>
    <row r="77" spans="2:20" ht="39" customHeight="1" thickBot="1" x14ac:dyDescent="0.25">
      <c r="B77" s="780">
        <v>17</v>
      </c>
      <c r="C77" s="781"/>
      <c r="D77" s="873" t="s">
        <v>714</v>
      </c>
      <c r="E77" s="876" t="s">
        <v>472</v>
      </c>
      <c r="F77" s="879" t="s">
        <v>473</v>
      </c>
      <c r="G77" s="880"/>
      <c r="H77" s="879" t="s">
        <v>935</v>
      </c>
      <c r="I77" s="880"/>
      <c r="J77" s="879" t="s">
        <v>734</v>
      </c>
      <c r="K77" s="880"/>
      <c r="L77" s="736"/>
      <c r="M77" s="886" t="s">
        <v>670</v>
      </c>
      <c r="N77" s="887"/>
      <c r="O77" s="736"/>
      <c r="P77" s="403" t="s">
        <v>2</v>
      </c>
      <c r="Q77" s="404"/>
      <c r="R77" s="766" t="str">
        <f>IF(AND(Q77&lt;&gt;"",Q78&lt;&gt;"",Q77=0,Q78=0),Berechnung1!$H$4,IF(Q79="",Berechnung1!$D$4,IF(Q79=Berechnung1!D98,Berechnung1!$F$4,IF(OR(Q79&lt;Berechnung1!E98,Q79&gt;Berechnung1!F98),Berechnung1!$G$4,IF(OR(ROUND(Q79,4)&lt;Berechnung1!J98,ROUND(Q79,4)&gt;Berechnung1!K98),Berechnung1!$D$4,IF(OR(ROUND(Q79,4)&lt;Berechnung1!G98,ROUND(Q79,4)&gt;Berechnung1!H98),Berechnung1!$E$4,Berechnung1!$C$4))))))</f>
        <v>Unvollständig</v>
      </c>
      <c r="S77" s="767"/>
      <c r="T77" s="721"/>
    </row>
    <row r="78" spans="2:20" s="7" customFormat="1" ht="39" customHeight="1" thickBot="1" x14ac:dyDescent="0.25">
      <c r="B78" s="782"/>
      <c r="C78" s="783"/>
      <c r="D78" s="874"/>
      <c r="E78" s="877"/>
      <c r="F78" s="881"/>
      <c r="G78" s="882"/>
      <c r="H78" s="881"/>
      <c r="I78" s="882"/>
      <c r="J78" s="881"/>
      <c r="K78" s="882"/>
      <c r="L78" s="737"/>
      <c r="M78" s="888"/>
      <c r="N78" s="889"/>
      <c r="O78" s="737"/>
      <c r="P78" s="403" t="s">
        <v>4</v>
      </c>
      <c r="Q78" s="405"/>
      <c r="R78" s="716"/>
      <c r="S78" s="799"/>
      <c r="T78" s="799"/>
    </row>
    <row r="79" spans="2:20" ht="39" customHeight="1" thickBot="1" x14ac:dyDescent="0.25">
      <c r="B79" s="784"/>
      <c r="C79" s="785"/>
      <c r="D79" s="875"/>
      <c r="E79" s="878"/>
      <c r="F79" s="883"/>
      <c r="G79" s="884"/>
      <c r="H79" s="883"/>
      <c r="I79" s="884"/>
      <c r="J79" s="883"/>
      <c r="K79" s="884"/>
      <c r="L79" s="738"/>
      <c r="M79" s="890"/>
      <c r="N79" s="891"/>
      <c r="O79" s="738"/>
      <c r="P79" s="403" t="s">
        <v>5</v>
      </c>
      <c r="Q79" s="406" t="str">
        <f>IF(Q77="","n.d.",IF(Q78="","n.d.",IF(Q78=0,"",Q77/Q78)))</f>
        <v>n.d.</v>
      </c>
      <c r="R79" s="717"/>
      <c r="S79" s="800"/>
      <c r="T79" s="800"/>
    </row>
    <row r="80" spans="2:20" ht="33.75" customHeight="1" thickBot="1" x14ac:dyDescent="0.25">
      <c r="B80" s="780">
        <v>18</v>
      </c>
      <c r="C80" s="781"/>
      <c r="D80" s="873" t="s">
        <v>714</v>
      </c>
      <c r="E80" s="876" t="s">
        <v>679</v>
      </c>
      <c r="F80" s="879" t="s">
        <v>680</v>
      </c>
      <c r="G80" s="880"/>
      <c r="H80" s="879" t="s">
        <v>828</v>
      </c>
      <c r="I80" s="880"/>
      <c r="J80" s="879" t="s">
        <v>936</v>
      </c>
      <c r="K80" s="880"/>
      <c r="L80" s="736"/>
      <c r="M80" s="886" t="s">
        <v>792</v>
      </c>
      <c r="N80" s="887"/>
      <c r="O80" s="736"/>
      <c r="P80" s="403" t="s">
        <v>2</v>
      </c>
      <c r="Q80" s="404"/>
      <c r="R80" s="766" t="str">
        <f>IF(AND(Q80&lt;&gt;"",Q81&lt;&gt;"",Q80=0,Q81=0),Berechnung1!$H$4,IF(Q82="",Berechnung1!$D$4,IF(Q82=Berechnung1!D101,Berechnung1!$F$4,IF(OR(Q82&lt;Berechnung1!E101,Q82&gt;Berechnung1!F101),Berechnung1!$G$4,IF(OR(ROUND(Q82,4)&lt;Berechnung1!J101,ROUND(Q82,4)&gt;Berechnung1!K101),Berechnung1!$D$4,IF(OR(ROUND(Q82,4)&lt;Berechnung1!G101,ROUND(Q82,4)&gt;Berechnung1!H101),Berechnung1!$E$4,Berechnung1!$C$4))))))</f>
        <v>Unvollständig</v>
      </c>
      <c r="S80" s="767"/>
      <c r="T80" s="721"/>
    </row>
    <row r="81" spans="2:21" s="7" customFormat="1" ht="33.75" customHeight="1" thickBot="1" x14ac:dyDescent="0.25">
      <c r="B81" s="782"/>
      <c r="C81" s="783"/>
      <c r="D81" s="874"/>
      <c r="E81" s="877"/>
      <c r="F81" s="881"/>
      <c r="G81" s="882"/>
      <c r="H81" s="881"/>
      <c r="I81" s="882"/>
      <c r="J81" s="881"/>
      <c r="K81" s="882"/>
      <c r="L81" s="737"/>
      <c r="M81" s="888"/>
      <c r="N81" s="889"/>
      <c r="O81" s="737"/>
      <c r="P81" s="403" t="s">
        <v>4</v>
      </c>
      <c r="Q81" s="405"/>
      <c r="R81" s="716"/>
      <c r="S81" s="799"/>
      <c r="T81" s="799"/>
    </row>
    <row r="82" spans="2:21" ht="33.75" customHeight="1" thickBot="1" x14ac:dyDescent="0.25">
      <c r="B82" s="784"/>
      <c r="C82" s="785"/>
      <c r="D82" s="875"/>
      <c r="E82" s="878"/>
      <c r="F82" s="883"/>
      <c r="G82" s="884"/>
      <c r="H82" s="883"/>
      <c r="I82" s="884"/>
      <c r="J82" s="883"/>
      <c r="K82" s="884"/>
      <c r="L82" s="738"/>
      <c r="M82" s="890"/>
      <c r="N82" s="891"/>
      <c r="O82" s="738"/>
      <c r="P82" s="403" t="s">
        <v>5</v>
      </c>
      <c r="Q82" s="406" t="str">
        <f>IF(Q80="","n.d.",IF(Q81="","n.d.",IF(Q81=0,"",Q80/Q81)))</f>
        <v>n.d.</v>
      </c>
      <c r="R82" s="717"/>
      <c r="S82" s="800"/>
      <c r="T82" s="800"/>
    </row>
    <row r="83" spans="2:21" ht="33.75" customHeight="1" thickBot="1" x14ac:dyDescent="0.25">
      <c r="B83" s="780">
        <v>19</v>
      </c>
      <c r="C83" s="781"/>
      <c r="D83" s="868" t="s">
        <v>714</v>
      </c>
      <c r="E83" s="751" t="s">
        <v>829</v>
      </c>
      <c r="F83" s="754" t="s">
        <v>592</v>
      </c>
      <c r="G83" s="755"/>
      <c r="H83" s="754" t="s">
        <v>735</v>
      </c>
      <c r="I83" s="755"/>
      <c r="J83" s="754" t="s">
        <v>736</v>
      </c>
      <c r="K83" s="755"/>
      <c r="L83" s="761"/>
      <c r="M83" s="801" t="s">
        <v>593</v>
      </c>
      <c r="N83" s="802"/>
      <c r="O83" s="761"/>
      <c r="P83" s="127" t="s">
        <v>2</v>
      </c>
      <c r="Q83" s="404"/>
      <c r="R83" s="766" t="str">
        <f>IF(AND(Q83&lt;&gt;"",Q84&lt;&gt;"",Q83=0,Q84=0),Berechnung1!$H$4,IF(Q85="",Berechnung1!$D$4,IF(Q85=Berechnung1!D104,Berechnung1!$F$4,IF(OR(Q85&lt;Berechnung1!E104,Q85&gt;Berechnung1!F104),Berechnung1!$G$4,IF(OR(ROUND(Q85,4)&lt;Berechnung1!J104,ROUND(Q85,4)&gt;Berechnung1!K104),Berechnung1!$D$4,IF(OR(ROUND(Q85,4)&lt;Berechnung1!G104,ROUND(Q85,4)&gt;Berechnung1!H104),Berechnung1!$E$4,Berechnung1!$C$4))))))</f>
        <v>Unvollständig</v>
      </c>
      <c r="S83" s="767"/>
      <c r="T83" s="767"/>
    </row>
    <row r="84" spans="2:21" s="7" customFormat="1" ht="33.75" customHeight="1" thickBot="1" x14ac:dyDescent="0.25">
      <c r="B84" s="782"/>
      <c r="C84" s="783"/>
      <c r="D84" s="749"/>
      <c r="E84" s="752"/>
      <c r="F84" s="756"/>
      <c r="G84" s="757"/>
      <c r="H84" s="756"/>
      <c r="I84" s="757"/>
      <c r="J84" s="756"/>
      <c r="K84" s="757"/>
      <c r="L84" s="762"/>
      <c r="M84" s="803"/>
      <c r="N84" s="804"/>
      <c r="O84" s="762"/>
      <c r="P84" s="127" t="s">
        <v>4</v>
      </c>
      <c r="Q84" s="405"/>
      <c r="R84" s="716"/>
      <c r="S84" s="799"/>
      <c r="T84" s="799"/>
    </row>
    <row r="85" spans="2:21" ht="33.75" customHeight="1" thickBot="1" x14ac:dyDescent="0.25">
      <c r="B85" s="784"/>
      <c r="C85" s="785"/>
      <c r="D85" s="750"/>
      <c r="E85" s="753"/>
      <c r="F85" s="758"/>
      <c r="G85" s="759"/>
      <c r="H85" s="758"/>
      <c r="I85" s="759"/>
      <c r="J85" s="758"/>
      <c r="K85" s="759"/>
      <c r="L85" s="763"/>
      <c r="M85" s="805"/>
      <c r="N85" s="806"/>
      <c r="O85" s="763"/>
      <c r="P85" s="127" t="s">
        <v>5</v>
      </c>
      <c r="Q85" s="494" t="str">
        <f>IF(Q83="","n.d.",IF(Q84="","n.d.",IF(Q84=0,"",Q83/Q84)))</f>
        <v>n.d.</v>
      </c>
      <c r="R85" s="717"/>
      <c r="S85" s="800"/>
      <c r="T85" s="800"/>
    </row>
    <row r="86" spans="2:21" ht="33.75" customHeight="1" thickBot="1" x14ac:dyDescent="0.25">
      <c r="B86" s="780">
        <v>20</v>
      </c>
      <c r="C86" s="906"/>
      <c r="D86" s="868" t="s">
        <v>714</v>
      </c>
      <c r="E86" s="751" t="s">
        <v>634</v>
      </c>
      <c r="F86" s="754" t="s">
        <v>937</v>
      </c>
      <c r="G86" s="755"/>
      <c r="H86" s="754" t="s">
        <v>681</v>
      </c>
      <c r="I86" s="755"/>
      <c r="J86" s="754" t="s">
        <v>682</v>
      </c>
      <c r="K86" s="755"/>
      <c r="L86" s="761"/>
      <c r="M86" s="801" t="s">
        <v>786</v>
      </c>
      <c r="N86" s="802"/>
      <c r="O86" s="761"/>
      <c r="P86" s="127" t="s">
        <v>2</v>
      </c>
      <c r="Q86" s="404"/>
      <c r="R86" s="766" t="str">
        <f>IF(AND(Q86&lt;&gt;"",Q87&lt;&gt;"",Q86=0,Q87=0),Berechnung1!$H$4,IF(Q88=Berechnung1!D107,Berechnung1!$F$4,IF(OR(Q88&lt;Berechnung1!E107,Q88&gt;Berechnung1!F107),Berechnung1!$G$4,IF(OR(ROUND(Q88,4)&lt;Berechnung1!J107,ROUND(Q88,4)&gt;Berechnung1!K107),Berechnung1!$D$4,IF(OR(ROUND(Q88,4)&lt;Berechnung1!G107,ROUND(Q88,4)&gt;Berechnung1!H107),Berechnung1!$E$4,Berechnung1!$C$4)))))</f>
        <v>Unvollständig</v>
      </c>
      <c r="S86" s="767"/>
      <c r="T86" s="767"/>
    </row>
    <row r="87" spans="2:21" ht="33.75" customHeight="1" thickBot="1" x14ac:dyDescent="0.25">
      <c r="B87" s="853"/>
      <c r="C87" s="907"/>
      <c r="D87" s="909"/>
      <c r="E87" s="752"/>
      <c r="F87" s="756"/>
      <c r="G87" s="757"/>
      <c r="H87" s="756"/>
      <c r="I87" s="757"/>
      <c r="J87" s="756"/>
      <c r="K87" s="757"/>
      <c r="L87" s="762"/>
      <c r="M87" s="803"/>
      <c r="N87" s="804"/>
      <c r="O87" s="762"/>
      <c r="P87" s="127" t="s">
        <v>4</v>
      </c>
      <c r="Q87" s="405"/>
      <c r="R87" s="716"/>
      <c r="S87" s="799"/>
      <c r="T87" s="799"/>
      <c r="U87" s="510">
        <f>IF(Basisdaten!F40="",0,Basisdaten!F40)</f>
        <v>0</v>
      </c>
    </row>
    <row r="88" spans="2:21" ht="33.75" customHeight="1" thickBot="1" x14ac:dyDescent="0.25">
      <c r="B88" s="854"/>
      <c r="C88" s="908"/>
      <c r="D88" s="910"/>
      <c r="E88" s="753"/>
      <c r="F88" s="758"/>
      <c r="G88" s="759"/>
      <c r="H88" s="758"/>
      <c r="I88" s="759"/>
      <c r="J88" s="758"/>
      <c r="K88" s="759"/>
      <c r="L88" s="763"/>
      <c r="M88" s="805"/>
      <c r="N88" s="806"/>
      <c r="O88" s="763"/>
      <c r="P88" s="127" t="s">
        <v>5</v>
      </c>
      <c r="Q88" s="494" t="str">
        <f>IF(Q86="","n.d.",IF(Q87="","n.d.",IF(Q87=0,"",Q86/Q87)))</f>
        <v>n.d.</v>
      </c>
      <c r="R88" s="717"/>
      <c r="S88" s="800"/>
      <c r="T88" s="800"/>
    </row>
    <row r="89" spans="2:21" ht="33.75" customHeight="1" thickBot="1" x14ac:dyDescent="0.25">
      <c r="B89" s="892">
        <v>21</v>
      </c>
      <c r="C89" s="893"/>
      <c r="D89" s="873" t="s">
        <v>714</v>
      </c>
      <c r="E89" s="876" t="s">
        <v>737</v>
      </c>
      <c r="F89" s="879" t="s">
        <v>938</v>
      </c>
      <c r="G89" s="880"/>
      <c r="H89" s="879" t="s">
        <v>738</v>
      </c>
      <c r="I89" s="880"/>
      <c r="J89" s="879" t="s">
        <v>939</v>
      </c>
      <c r="K89" s="880"/>
      <c r="L89" s="900"/>
      <c r="M89" s="886" t="s">
        <v>786</v>
      </c>
      <c r="N89" s="887"/>
      <c r="O89" s="900"/>
      <c r="P89" s="403" t="s">
        <v>2</v>
      </c>
      <c r="Q89" s="404"/>
      <c r="R89" s="903" t="str">
        <f>IF(AND(Q89&lt;&gt;"",Q90&lt;&gt;"",Q89=0,Q90=0),Berechnung1!$H$4,IF(Q91=Berechnung1!D110,Berechnung1!$F$4,IF(OR(Q91&lt;Berechnung1!E110,Q91&gt;Berechnung1!F110),Berechnung1!$G$4,IF(OR(ROUND(Q91,4)&lt;Berechnung1!J110,ROUND(Q91,4)&gt;Berechnung1!K110),Berechnung1!$D$4,IF(OR(ROUND(Q91,4)&lt;Berechnung1!G110,ROUND(Q91,4)&gt;Berechnung1!H110),Berechnung1!$E$4,Berechnung1!$C$4)))))</f>
        <v>Unvollständig</v>
      </c>
      <c r="S89" s="767"/>
      <c r="T89" s="767"/>
    </row>
    <row r="90" spans="2:21" ht="33.75" customHeight="1" thickBot="1" x14ac:dyDescent="0.25">
      <c r="B90" s="894"/>
      <c r="C90" s="895"/>
      <c r="D90" s="898"/>
      <c r="E90" s="877"/>
      <c r="F90" s="881"/>
      <c r="G90" s="882"/>
      <c r="H90" s="881"/>
      <c r="I90" s="882"/>
      <c r="J90" s="881"/>
      <c r="K90" s="882"/>
      <c r="L90" s="901"/>
      <c r="M90" s="888"/>
      <c r="N90" s="889"/>
      <c r="O90" s="901"/>
      <c r="P90" s="403" t="s">
        <v>4</v>
      </c>
      <c r="Q90" s="405"/>
      <c r="R90" s="904"/>
      <c r="S90" s="799"/>
      <c r="T90" s="799"/>
    </row>
    <row r="91" spans="2:21" ht="33.75" customHeight="1" thickBot="1" x14ac:dyDescent="0.25">
      <c r="B91" s="896"/>
      <c r="C91" s="897"/>
      <c r="D91" s="899"/>
      <c r="E91" s="878"/>
      <c r="F91" s="883"/>
      <c r="G91" s="884"/>
      <c r="H91" s="883"/>
      <c r="I91" s="884"/>
      <c r="J91" s="883"/>
      <c r="K91" s="884"/>
      <c r="L91" s="902"/>
      <c r="M91" s="890"/>
      <c r="N91" s="891"/>
      <c r="O91" s="902"/>
      <c r="P91" s="403" t="s">
        <v>5</v>
      </c>
      <c r="Q91" s="545" t="str">
        <f>IF(Q89="","n.d.",IF(Q90="","n.d.",IF(Q90=0,"",Q89/Q90)))</f>
        <v>n.d.</v>
      </c>
      <c r="R91" s="905"/>
      <c r="S91" s="800"/>
      <c r="T91" s="800"/>
    </row>
    <row r="92" spans="2:21" ht="33.75" customHeight="1" thickBot="1" x14ac:dyDescent="0.25">
      <c r="B92" s="892">
        <v>22</v>
      </c>
      <c r="C92" s="893"/>
      <c r="D92" s="873"/>
      <c r="E92" s="876" t="s">
        <v>940</v>
      </c>
      <c r="F92" s="879" t="s">
        <v>882</v>
      </c>
      <c r="G92" s="880"/>
      <c r="H92" s="879" t="s">
        <v>883</v>
      </c>
      <c r="I92" s="880"/>
      <c r="J92" s="879" t="s">
        <v>884</v>
      </c>
      <c r="K92" s="880"/>
      <c r="L92" s="900"/>
      <c r="M92" s="886" t="s">
        <v>465</v>
      </c>
      <c r="N92" s="887"/>
      <c r="O92" s="900"/>
      <c r="P92" s="403" t="s">
        <v>2</v>
      </c>
      <c r="Q92" s="128">
        <f>IF(Basisdaten!F33="",0,IF(Basisdaten!G33="",0,(Basisdaten!F33+Basisdaten!G33)))</f>
        <v>0</v>
      </c>
      <c r="R92" s="903" t="str">
        <f>IF(Q94=Berechnung1!D113,Berechnung1!$F$4,IF(OR(Q94&lt; Berechnung1!E113,Q94&gt; Berechnung1!F113),Berechnung1!$G$4,IF(OR(ROUND(Q94,4)&lt;Berechnung1!J113,ROUND(Q94,4)&gt;Berechnung1!K113),Berechnung1!$D$4,IF(OR(ROUND(Q94,4)&lt;Berechnung1!G113,ROUND(Q94,4)&gt;Berechnung1!H113),Berechnung1!$E$4,Berechnung1!$C$4))))</f>
        <v>Unvollständig</v>
      </c>
      <c r="S92" s="767"/>
      <c r="T92" s="767"/>
    </row>
    <row r="93" spans="2:21" ht="33.75" customHeight="1" thickBot="1" x14ac:dyDescent="0.25">
      <c r="B93" s="894"/>
      <c r="C93" s="895"/>
      <c r="D93" s="898"/>
      <c r="E93" s="877"/>
      <c r="F93" s="881"/>
      <c r="G93" s="882"/>
      <c r="H93" s="881"/>
      <c r="I93" s="882"/>
      <c r="J93" s="881"/>
      <c r="K93" s="882"/>
      <c r="L93" s="901"/>
      <c r="M93" s="888"/>
      <c r="N93" s="889"/>
      <c r="O93" s="901"/>
      <c r="P93" s="403" t="s">
        <v>4</v>
      </c>
      <c r="Q93" s="128">
        <f>IF(Basisdaten!F40="",0,IF(Basisdaten!G40="",0,(Basisdaten!F40+Basisdaten!G40)))</f>
        <v>0</v>
      </c>
      <c r="R93" s="904"/>
      <c r="S93" s="799"/>
      <c r="T93" s="799"/>
    </row>
    <row r="94" spans="2:21" ht="33.75" customHeight="1" thickBot="1" x14ac:dyDescent="0.25">
      <c r="B94" s="896"/>
      <c r="C94" s="897"/>
      <c r="D94" s="899"/>
      <c r="E94" s="878"/>
      <c r="F94" s="883"/>
      <c r="G94" s="884"/>
      <c r="H94" s="883"/>
      <c r="I94" s="884"/>
      <c r="J94" s="883"/>
      <c r="K94" s="884"/>
      <c r="L94" s="902"/>
      <c r="M94" s="890"/>
      <c r="N94" s="891"/>
      <c r="O94" s="902"/>
      <c r="P94" s="403" t="s">
        <v>5</v>
      </c>
      <c r="Q94" s="545" t="str">
        <f>IF(Q92="","n.d.",IF(Q93="","n.d.",IF(Q93=0,"n.d.",Q92/Q93)))</f>
        <v>n.d.</v>
      </c>
      <c r="R94" s="905"/>
      <c r="S94" s="800"/>
      <c r="T94" s="800"/>
    </row>
    <row r="95" spans="2:21" ht="33.75" customHeight="1" thickBot="1" x14ac:dyDescent="0.25">
      <c r="B95" s="892">
        <v>23</v>
      </c>
      <c r="C95" s="893"/>
      <c r="D95" s="873"/>
      <c r="E95" s="876" t="s">
        <v>881</v>
      </c>
      <c r="F95" s="879" t="s">
        <v>941</v>
      </c>
      <c r="G95" s="880"/>
      <c r="H95" s="879" t="s">
        <v>885</v>
      </c>
      <c r="I95" s="880"/>
      <c r="J95" s="879" t="s">
        <v>886</v>
      </c>
      <c r="K95" s="880"/>
      <c r="L95" s="900"/>
      <c r="M95" s="886" t="s">
        <v>465</v>
      </c>
      <c r="N95" s="887"/>
      <c r="O95" s="900"/>
      <c r="P95" s="403" t="s">
        <v>2</v>
      </c>
      <c r="Q95" s="128">
        <f>IF(Basisdaten!F33="",0,IF(Basisdaten!G33="",0,(Basisdaten!F33+Basisdaten!G33)))</f>
        <v>0</v>
      </c>
      <c r="R95" s="903" t="str">
        <f>IF(Q97=Berechnung1!D116,Berechnung1!$F$4,IF(OR(Q97&lt;Berechnung1!E116,Q97&gt;Berechnung1!F116),Berechnung1!$G$4,IF(OR(ROUND(Q97,4)&lt;Berechnung1!J116,ROUND(Q97,4)&gt;Berechnung1!K116),Berechnung1!$D$4,IF(OR(ROUND(Q97,4)&lt;Berechnung1!G116,ROUND(Q97,4)&gt;Berechnung1!H116),Berechnung1!$E$4,Berechnung1!$C$4))))</f>
        <v>Unvollständig</v>
      </c>
      <c r="S95" s="767"/>
      <c r="T95" s="767"/>
    </row>
    <row r="96" spans="2:21" ht="33.75" customHeight="1" thickBot="1" x14ac:dyDescent="0.25">
      <c r="B96" s="894"/>
      <c r="C96" s="895"/>
      <c r="D96" s="898"/>
      <c r="E96" s="877"/>
      <c r="F96" s="881"/>
      <c r="G96" s="882"/>
      <c r="H96" s="881"/>
      <c r="I96" s="882"/>
      <c r="J96" s="881"/>
      <c r="K96" s="882"/>
      <c r="L96" s="901"/>
      <c r="M96" s="888"/>
      <c r="N96" s="889"/>
      <c r="O96" s="901"/>
      <c r="P96" s="403" t="s">
        <v>4</v>
      </c>
      <c r="Q96" s="128">
        <f>IF(Basisdaten!O33="",0,Basisdaten!O33)</f>
        <v>0</v>
      </c>
      <c r="R96" s="904"/>
      <c r="S96" s="799"/>
      <c r="T96" s="799"/>
    </row>
    <row r="97" spans="2:20" ht="33.75" customHeight="1" thickBot="1" x14ac:dyDescent="0.25">
      <c r="B97" s="896"/>
      <c r="C97" s="897"/>
      <c r="D97" s="899"/>
      <c r="E97" s="878"/>
      <c r="F97" s="883"/>
      <c r="G97" s="884"/>
      <c r="H97" s="883"/>
      <c r="I97" s="884"/>
      <c r="J97" s="883"/>
      <c r="K97" s="884"/>
      <c r="L97" s="902"/>
      <c r="M97" s="890"/>
      <c r="N97" s="891"/>
      <c r="O97" s="902"/>
      <c r="P97" s="403" t="s">
        <v>5</v>
      </c>
      <c r="Q97" s="545" t="str">
        <f>IF(Q95="","n.d.",IF(Q96="","n.d.",IF(Q96=0,"n.d.",Q95/Q96)))</f>
        <v>n.d.</v>
      </c>
      <c r="R97" s="905"/>
      <c r="S97" s="800"/>
      <c r="T97" s="800"/>
    </row>
    <row r="98" spans="2:20" ht="7.5" customHeight="1" x14ac:dyDescent="0.2">
      <c r="B98" s="518"/>
      <c r="C98" s="518"/>
      <c r="D98" s="519"/>
      <c r="E98" s="520"/>
      <c r="F98" s="520"/>
      <c r="G98" s="520"/>
      <c r="H98" s="520"/>
      <c r="I98" s="520"/>
      <c r="J98" s="520"/>
      <c r="K98" s="520"/>
      <c r="L98" s="521"/>
      <c r="M98" s="515"/>
      <c r="N98" s="515"/>
      <c r="O98" s="521"/>
      <c r="P98" s="516"/>
      <c r="Q98" s="517"/>
      <c r="R98" s="522"/>
      <c r="S98" s="526"/>
      <c r="T98" s="526"/>
    </row>
    <row r="99" spans="2:20" ht="18" customHeight="1" thickBot="1" x14ac:dyDescent="0.25">
      <c r="B99" s="915" t="s">
        <v>85</v>
      </c>
      <c r="C99" s="915"/>
      <c r="D99" s="915"/>
      <c r="E99" s="915"/>
      <c r="F99" s="915"/>
      <c r="G99" s="520"/>
      <c r="H99" s="520"/>
      <c r="I99" s="520"/>
      <c r="J99" s="520"/>
      <c r="K99" s="520"/>
      <c r="L99" s="521"/>
      <c r="M99" s="515"/>
      <c r="N99" s="515"/>
      <c r="O99" s="521"/>
      <c r="P99" s="516"/>
      <c r="Q99" s="517"/>
      <c r="R99" s="522"/>
      <c r="S99" s="526"/>
      <c r="T99" s="526"/>
    </row>
    <row r="100" spans="2:20" ht="18" customHeight="1" thickBot="1" x14ac:dyDescent="0.25">
      <c r="B100" s="518"/>
      <c r="C100" s="518"/>
      <c r="D100" s="916" t="s">
        <v>750</v>
      </c>
      <c r="E100" s="917"/>
      <c r="F100" s="532" t="s">
        <v>99</v>
      </c>
      <c r="G100" s="533" t="str">
        <f>CONCATENATE(TEXT(Berechnung1!C8,"0,00%")," (",Berechnung1!C5, ")")</f>
        <v>0,00% (0)</v>
      </c>
      <c r="H100" s="920" t="str">
        <f>CONCATENATE(TEXT(Berechnung1!D9,"0,00%")," (",Berechnung1!D6, ")")</f>
        <v>0,00% (0)</v>
      </c>
      <c r="I100" s="928" t="s">
        <v>105</v>
      </c>
      <c r="J100" s="520"/>
      <c r="K100" s="520"/>
      <c r="L100" s="521"/>
      <c r="M100" s="515"/>
      <c r="N100" s="515"/>
      <c r="O100" s="521"/>
      <c r="P100" s="516"/>
      <c r="Q100" s="517"/>
      <c r="R100" s="522"/>
      <c r="S100" s="526"/>
      <c r="T100" s="526"/>
    </row>
    <row r="101" spans="2:20" ht="18" customHeight="1" thickBot="1" x14ac:dyDescent="0.25">
      <c r="B101" s="518"/>
      <c r="C101" s="518"/>
      <c r="D101" s="918"/>
      <c r="E101" s="919"/>
      <c r="F101" s="534" t="s">
        <v>81</v>
      </c>
      <c r="G101" s="535" t="str">
        <f>CONCATENATE(TEXT(Berechnung1!K8,"0,00%")," (",Berechnung1!K5, ")")</f>
        <v>0,00% (0)</v>
      </c>
      <c r="H101" s="920"/>
      <c r="I101" s="929"/>
      <c r="J101" s="520"/>
      <c r="K101" s="520"/>
      <c r="L101" s="521"/>
      <c r="M101" s="515"/>
      <c r="N101" s="515"/>
      <c r="O101" s="521"/>
      <c r="P101" s="516"/>
      <c r="Q101" s="517"/>
      <c r="R101" s="522"/>
      <c r="S101" s="526"/>
      <c r="T101" s="526"/>
    </row>
    <row r="102" spans="2:20" ht="18" customHeight="1" thickBot="1" x14ac:dyDescent="0.25">
      <c r="B102" s="518"/>
      <c r="C102" s="518"/>
      <c r="D102" s="921" t="s">
        <v>751</v>
      </c>
      <c r="E102" s="922"/>
      <c r="F102" s="922"/>
      <c r="G102" s="923"/>
      <c r="H102" s="536" t="str">
        <f>CONCATENATE(TEXT(Berechnung1!E9,"0,00%")," (",Berechnung1!E6, ")")</f>
        <v>0,00% (0)</v>
      </c>
      <c r="I102" s="542" t="str">
        <f>CONCATENATE(TEXT(Berechnung1!E10,"0,00%")," (",Berechnung1!E7, ")")</f>
        <v>0,00% (0)</v>
      </c>
      <c r="J102" s="520"/>
      <c r="K102" s="520"/>
      <c r="L102" s="521"/>
      <c r="M102" s="515"/>
      <c r="N102" s="515"/>
      <c r="O102" s="521"/>
      <c r="P102" s="516"/>
      <c r="Q102" s="517"/>
      <c r="R102" s="522"/>
      <c r="S102" s="526"/>
      <c r="T102" s="526"/>
    </row>
    <row r="103" spans="2:20" ht="18" customHeight="1" thickBot="1" x14ac:dyDescent="0.25">
      <c r="B103" s="518"/>
      <c r="C103" s="518"/>
      <c r="D103" s="924" t="s">
        <v>101</v>
      </c>
      <c r="E103" s="925"/>
      <c r="F103" s="537" t="s">
        <v>100</v>
      </c>
      <c r="G103" s="538" t="str">
        <f>CONCATENATE(TEXT(Berechnung1!G8,"0,00%")," (",Berechnung1!G5, ")")</f>
        <v>0,00% (0)</v>
      </c>
      <c r="H103" s="920" t="str">
        <f>CONCATENATE(TEXT(Berechnung1!G9,"0,00%")," (",Berechnung1!G7, ")")</f>
        <v>100,00% (30)</v>
      </c>
      <c r="I103" s="920"/>
      <c r="J103" s="520"/>
      <c r="K103" s="520"/>
      <c r="L103" s="521"/>
      <c r="M103" s="515"/>
      <c r="N103" s="515"/>
      <c r="O103" s="521"/>
      <c r="P103" s="516"/>
      <c r="Q103" s="517"/>
      <c r="R103" s="522"/>
      <c r="S103" s="526"/>
      <c r="T103" s="526"/>
    </row>
    <row r="104" spans="2:20" ht="18" customHeight="1" thickBot="1" x14ac:dyDescent="0.25">
      <c r="B104" s="518"/>
      <c r="C104" s="518"/>
      <c r="D104" s="926"/>
      <c r="E104" s="927"/>
      <c r="F104" s="539" t="s">
        <v>102</v>
      </c>
      <c r="G104" s="540" t="str">
        <f>CONCATENATE(TEXT(Berechnung1!F8,"0,00%")," (",Berechnung1!F5, ")")</f>
        <v>100,00% (30)</v>
      </c>
      <c r="H104" s="920"/>
      <c r="I104" s="920"/>
      <c r="J104" s="520"/>
      <c r="K104" s="520"/>
      <c r="L104" s="521"/>
      <c r="M104" s="515"/>
      <c r="N104" s="515"/>
      <c r="O104" s="521"/>
      <c r="P104" s="516"/>
      <c r="Q104" s="517"/>
      <c r="R104" s="522"/>
      <c r="S104" s="526"/>
      <c r="T104" s="526"/>
    </row>
    <row r="105" spans="2:20" ht="7.5" customHeight="1" x14ac:dyDescent="0.2">
      <c r="B105" s="518"/>
      <c r="C105" s="518"/>
      <c r="D105" s="541"/>
      <c r="E105" s="541"/>
      <c r="F105" s="541"/>
      <c r="G105" s="541"/>
      <c r="H105" s="541"/>
      <c r="I105" s="541"/>
      <c r="J105" s="520"/>
      <c r="K105" s="520"/>
      <c r="L105" s="521"/>
      <c r="M105" s="515"/>
      <c r="N105" s="515"/>
      <c r="O105" s="521"/>
      <c r="P105" s="516"/>
      <c r="Q105" s="517"/>
      <c r="R105" s="522"/>
      <c r="S105" s="526"/>
      <c r="T105" s="526"/>
    </row>
    <row r="106" spans="2:20" s="7" customFormat="1" ht="17.25" customHeight="1" x14ac:dyDescent="0.2">
      <c r="B106" s="913" t="s">
        <v>524</v>
      </c>
      <c r="C106" s="913"/>
      <c r="D106" s="913"/>
      <c r="E106" s="913"/>
      <c r="F106" s="527"/>
      <c r="G106" s="527"/>
      <c r="H106" s="527"/>
      <c r="I106" s="527"/>
      <c r="J106" s="527"/>
      <c r="K106" s="527"/>
      <c r="L106" s="527"/>
      <c r="M106" s="527"/>
      <c r="N106" s="527"/>
      <c r="O106" s="527"/>
      <c r="P106" s="527"/>
      <c r="Q106" s="527"/>
      <c r="R106" s="527"/>
    </row>
    <row r="107" spans="2:20" s="7" customFormat="1" ht="24" customHeight="1" x14ac:dyDescent="0.2">
      <c r="B107" s="911" t="s">
        <v>942</v>
      </c>
      <c r="C107" s="912"/>
      <c r="D107" s="912"/>
      <c r="E107" s="912"/>
      <c r="F107" s="912"/>
      <c r="G107" s="912"/>
      <c r="H107" s="912"/>
      <c r="I107" s="912"/>
      <c r="J107" s="912"/>
      <c r="K107" s="912"/>
      <c r="L107" s="912"/>
      <c r="M107" s="912"/>
      <c r="N107" s="912"/>
      <c r="O107" s="912"/>
      <c r="P107" s="912"/>
      <c r="Q107" s="912"/>
      <c r="R107" s="912"/>
    </row>
    <row r="108" spans="2:20" ht="130.5" customHeight="1" x14ac:dyDescent="0.2">
      <c r="B108" s="885" t="s">
        <v>943</v>
      </c>
      <c r="C108" s="885"/>
      <c r="D108" s="885"/>
      <c r="E108" s="885"/>
      <c r="F108" s="885"/>
      <c r="G108" s="885"/>
      <c r="H108" s="885"/>
      <c r="I108" s="885"/>
      <c r="J108" s="885"/>
      <c r="K108" s="885"/>
      <c r="L108" s="885"/>
      <c r="M108" s="885"/>
      <c r="N108" s="885"/>
      <c r="O108" s="885"/>
      <c r="P108" s="885"/>
      <c r="Q108" s="885"/>
      <c r="R108" s="885"/>
    </row>
    <row r="109" spans="2:20" ht="33" customHeight="1" x14ac:dyDescent="0.2">
      <c r="B109" s="914" t="s">
        <v>743</v>
      </c>
      <c r="C109" s="914"/>
      <c r="D109" s="914"/>
      <c r="E109" s="914"/>
      <c r="F109" s="914"/>
      <c r="G109" s="914"/>
      <c r="H109" s="914"/>
      <c r="I109" s="914"/>
      <c r="J109" s="914"/>
      <c r="K109" s="914"/>
      <c r="L109" s="914"/>
      <c r="M109" s="914"/>
      <c r="N109" s="914"/>
      <c r="O109" s="914"/>
      <c r="P109" s="914"/>
      <c r="Q109" s="914"/>
      <c r="R109" s="914"/>
    </row>
  </sheetData>
  <sheetProtection algorithmName="SHA-512" hashValue="hgROZwxIxo33TgN88QfMYwOp+Fh2EvdDDTSyDreCFXo+R9tzyjam9FvtRx8dvjXDvQZh6WcYJgpu2BIwjA2sQA==" saltValue="Bl0qW/eQYtouBHjuWaemE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84">
    <mergeCell ref="S92:S94"/>
    <mergeCell ref="T92:T94"/>
    <mergeCell ref="B95:C97"/>
    <mergeCell ref="D95:D97"/>
    <mergeCell ref="E95:E97"/>
    <mergeCell ref="F95:G97"/>
    <mergeCell ref="H95:I97"/>
    <mergeCell ref="J95:K97"/>
    <mergeCell ref="L95:L97"/>
    <mergeCell ref="M95:N97"/>
    <mergeCell ref="O95:O97"/>
    <mergeCell ref="R95:R97"/>
    <mergeCell ref="S95:S97"/>
    <mergeCell ref="T95:T97"/>
    <mergeCell ref="J86:K88"/>
    <mergeCell ref="L86:L88"/>
    <mergeCell ref="M86:N88"/>
    <mergeCell ref="O86:O88"/>
    <mergeCell ref="B107:R107"/>
    <mergeCell ref="B106:E106"/>
    <mergeCell ref="B109:R109"/>
    <mergeCell ref="B99:F99"/>
    <mergeCell ref="D100:E101"/>
    <mergeCell ref="H100:H101"/>
    <mergeCell ref="D102:G102"/>
    <mergeCell ref="D103:E104"/>
    <mergeCell ref="H103:I104"/>
    <mergeCell ref="I100:I101"/>
    <mergeCell ref="B92:C94"/>
    <mergeCell ref="D92:D94"/>
    <mergeCell ref="E92:E94"/>
    <mergeCell ref="F92:G94"/>
    <mergeCell ref="H92:I94"/>
    <mergeCell ref="J92:K94"/>
    <mergeCell ref="L92:L94"/>
    <mergeCell ref="M92:N94"/>
    <mergeCell ref="O92:O94"/>
    <mergeCell ref="R92:R94"/>
    <mergeCell ref="R83:R85"/>
    <mergeCell ref="H80:I82"/>
    <mergeCell ref="S80:S82"/>
    <mergeCell ref="T80:T82"/>
    <mergeCell ref="R86:R88"/>
    <mergeCell ref="S86:S88"/>
    <mergeCell ref="T86:T88"/>
    <mergeCell ref="B89:C91"/>
    <mergeCell ref="D89:D91"/>
    <mergeCell ref="E89:E91"/>
    <mergeCell ref="F89:G91"/>
    <mergeCell ref="H89:I91"/>
    <mergeCell ref="J89:K91"/>
    <mergeCell ref="L89:L91"/>
    <mergeCell ref="M89:N91"/>
    <mergeCell ref="O89:O91"/>
    <mergeCell ref="R89:R91"/>
    <mergeCell ref="S89:S91"/>
    <mergeCell ref="T89:T91"/>
    <mergeCell ref="B86:C88"/>
    <mergeCell ref="D86:D88"/>
    <mergeCell ref="E86:E88"/>
    <mergeCell ref="F86:G88"/>
    <mergeCell ref="H86:I88"/>
    <mergeCell ref="J77:K79"/>
    <mergeCell ref="S77:S79"/>
    <mergeCell ref="T77:T79"/>
    <mergeCell ref="O77:O79"/>
    <mergeCell ref="S83:S85"/>
    <mergeCell ref="T83:T85"/>
    <mergeCell ref="B108:R108"/>
    <mergeCell ref="L80:L82"/>
    <mergeCell ref="M80:N82"/>
    <mergeCell ref="O80:O82"/>
    <mergeCell ref="L77:L79"/>
    <mergeCell ref="M77:N79"/>
    <mergeCell ref="J80:K82"/>
    <mergeCell ref="R77:R79"/>
    <mergeCell ref="R80:R82"/>
    <mergeCell ref="B83:C85"/>
    <mergeCell ref="D83:D85"/>
    <mergeCell ref="E83:E85"/>
    <mergeCell ref="F83:G85"/>
    <mergeCell ref="H83:I85"/>
    <mergeCell ref="J83:K85"/>
    <mergeCell ref="L83:L85"/>
    <mergeCell ref="M83:N85"/>
    <mergeCell ref="O83:O85"/>
    <mergeCell ref="B80:C82"/>
    <mergeCell ref="D80:D82"/>
    <mergeCell ref="E80:E82"/>
    <mergeCell ref="F80:G82"/>
    <mergeCell ref="B74:C76"/>
    <mergeCell ref="D74:D76"/>
    <mergeCell ref="E74:E76"/>
    <mergeCell ref="F74:G76"/>
    <mergeCell ref="H74:I76"/>
    <mergeCell ref="B77:C79"/>
    <mergeCell ref="D77:D79"/>
    <mergeCell ref="E77:E79"/>
    <mergeCell ref="F77:G79"/>
    <mergeCell ref="H77:I79"/>
    <mergeCell ref="R74:R76"/>
    <mergeCell ref="S74:S76"/>
    <mergeCell ref="T74:T76"/>
    <mergeCell ref="J74:K76"/>
    <mergeCell ref="L74:L76"/>
    <mergeCell ref="M74:N76"/>
    <mergeCell ref="O74:O76"/>
    <mergeCell ref="B56:C58"/>
    <mergeCell ref="B59:C61"/>
    <mergeCell ref="B62:C64"/>
    <mergeCell ref="R71:R73"/>
    <mergeCell ref="B68:C70"/>
    <mergeCell ref="B71:C73"/>
    <mergeCell ref="D71:D73"/>
    <mergeCell ref="L71:L73"/>
    <mergeCell ref="E71:E73"/>
    <mergeCell ref="F71:G73"/>
    <mergeCell ref="H71:I73"/>
    <mergeCell ref="J71:K73"/>
    <mergeCell ref="H65:I67"/>
    <mergeCell ref="J65:K67"/>
    <mergeCell ref="J59:K61"/>
    <mergeCell ref="J56:K58"/>
    <mergeCell ref="H56:I58"/>
    <mergeCell ref="O71:O73"/>
    <mergeCell ref="D62:D64"/>
    <mergeCell ref="F59:G61"/>
    <mergeCell ref="D68:D70"/>
    <mergeCell ref="L59:L61"/>
    <mergeCell ref="E68:E70"/>
    <mergeCell ref="L68:L70"/>
    <mergeCell ref="T68:T70"/>
    <mergeCell ref="S71:S73"/>
    <mergeCell ref="T71:T73"/>
    <mergeCell ref="H59:I61"/>
    <mergeCell ref="M59:N61"/>
    <mergeCell ref="M71:N73"/>
    <mergeCell ref="O65:O67"/>
    <mergeCell ref="O62:O64"/>
    <mergeCell ref="O59:O61"/>
    <mergeCell ref="S65:S67"/>
    <mergeCell ref="E4:F4"/>
    <mergeCell ref="J6:K7"/>
    <mergeCell ref="M11:N13"/>
    <mergeCell ref="J11:K13"/>
    <mergeCell ref="F6:G7"/>
    <mergeCell ref="F11:G13"/>
    <mergeCell ref="H4:O4"/>
    <mergeCell ref="B65:C67"/>
    <mergeCell ref="E65:E67"/>
    <mergeCell ref="F65:G67"/>
    <mergeCell ref="F62:G64"/>
    <mergeCell ref="H62:I64"/>
    <mergeCell ref="J62:K64"/>
    <mergeCell ref="M56:N58"/>
    <mergeCell ref="D59:D61"/>
    <mergeCell ref="L62:L64"/>
    <mergeCell ref="L65:L67"/>
    <mergeCell ref="E62:E64"/>
    <mergeCell ref="E59:E61"/>
    <mergeCell ref="D65:D67"/>
    <mergeCell ref="E56:E58"/>
    <mergeCell ref="F56:G58"/>
    <mergeCell ref="L56:L58"/>
    <mergeCell ref="D56:D58"/>
    <mergeCell ref="B6:C7"/>
    <mergeCell ref="E6:E7"/>
    <mergeCell ref="O6:O7"/>
    <mergeCell ref="L11:L13"/>
    <mergeCell ref="D6:D7"/>
    <mergeCell ref="H6:I7"/>
    <mergeCell ref="M6:N7"/>
    <mergeCell ref="F14:G16"/>
    <mergeCell ref="H8:I10"/>
    <mergeCell ref="J23:K28"/>
    <mergeCell ref="B23:B28"/>
    <mergeCell ref="D23:D28"/>
    <mergeCell ref="B11:B19"/>
    <mergeCell ref="C29:C31"/>
    <mergeCell ref="C32:C34"/>
    <mergeCell ref="B8:C10"/>
    <mergeCell ref="C11:C13"/>
    <mergeCell ref="E23:E28"/>
    <mergeCell ref="C26:C28"/>
    <mergeCell ref="E11:E13"/>
    <mergeCell ref="C23:C25"/>
    <mergeCell ref="H17:I19"/>
    <mergeCell ref="J17:K19"/>
    <mergeCell ref="D8:D10"/>
    <mergeCell ref="F8:G10"/>
    <mergeCell ref="D11:D19"/>
    <mergeCell ref="C14:C16"/>
    <mergeCell ref="C17:C19"/>
    <mergeCell ref="B29:B37"/>
    <mergeCell ref="C35:C37"/>
    <mergeCell ref="B20:C22"/>
    <mergeCell ref="R11:R13"/>
    <mergeCell ref="O11:O13"/>
    <mergeCell ref="L14:L16"/>
    <mergeCell ref="L17:L19"/>
    <mergeCell ref="M14:N16"/>
    <mergeCell ref="J14:K16"/>
    <mergeCell ref="H11:I13"/>
    <mergeCell ref="M17:N19"/>
    <mergeCell ref="P8:P10"/>
    <mergeCell ref="P11:P13"/>
    <mergeCell ref="R14:R16"/>
    <mergeCell ref="H14:I16"/>
    <mergeCell ref="P17:P19"/>
    <mergeCell ref="Q17:Q19"/>
    <mergeCell ref="O8:O10"/>
    <mergeCell ref="R17:R19"/>
    <mergeCell ref="L8:L10"/>
    <mergeCell ref="M8:N10"/>
    <mergeCell ref="J8:K10"/>
    <mergeCell ref="R8:R10"/>
    <mergeCell ref="S6:T6"/>
    <mergeCell ref="S17:S19"/>
    <mergeCell ref="T17:T19"/>
    <mergeCell ref="M26:N28"/>
    <mergeCell ref="E8:E10"/>
    <mergeCell ref="L6:L7"/>
    <mergeCell ref="F17:G19"/>
    <mergeCell ref="E14:E16"/>
    <mergeCell ref="E17:E19"/>
    <mergeCell ref="M23:N25"/>
    <mergeCell ref="S23:S25"/>
    <mergeCell ref="S14:S16"/>
    <mergeCell ref="T14:T16"/>
    <mergeCell ref="R6:R7"/>
    <mergeCell ref="S11:S13"/>
    <mergeCell ref="T11:T13"/>
    <mergeCell ref="T8:T10"/>
    <mergeCell ref="S8:S10"/>
    <mergeCell ref="Q14:Q16"/>
    <mergeCell ref="F23:G25"/>
    <mergeCell ref="F26:G28"/>
    <mergeCell ref="H23:I28"/>
    <mergeCell ref="Q8:Q10"/>
    <mergeCell ref="P6:Q7"/>
    <mergeCell ref="T41:T43"/>
    <mergeCell ref="R41:R43"/>
    <mergeCell ref="P14:P16"/>
    <mergeCell ref="O14:O16"/>
    <mergeCell ref="O17:O19"/>
    <mergeCell ref="Q11:Q13"/>
    <mergeCell ref="T26:T28"/>
    <mergeCell ref="S26:S28"/>
    <mergeCell ref="O23:O25"/>
    <mergeCell ref="O26:O28"/>
    <mergeCell ref="S29:S31"/>
    <mergeCell ref="T29:T31"/>
    <mergeCell ref="R23:R25"/>
    <mergeCell ref="T23:T25"/>
    <mergeCell ref="T38:T40"/>
    <mergeCell ref="R38:R40"/>
    <mergeCell ref="R26:R28"/>
    <mergeCell ref="R29:R31"/>
    <mergeCell ref="S38:S40"/>
    <mergeCell ref="T32:T34"/>
    <mergeCell ref="S32:S34"/>
    <mergeCell ref="R32:R34"/>
    <mergeCell ref="O32:O34"/>
    <mergeCell ref="O29:O31"/>
    <mergeCell ref="T44:T46"/>
    <mergeCell ref="E44:E46"/>
    <mergeCell ref="J68:K70"/>
    <mergeCell ref="H68:I70"/>
    <mergeCell ref="F68:G70"/>
    <mergeCell ref="S68:S70"/>
    <mergeCell ref="R68:R70"/>
    <mergeCell ref="O68:O70"/>
    <mergeCell ref="M68:N70"/>
    <mergeCell ref="J44:K46"/>
    <mergeCell ref="L44:L46"/>
    <mergeCell ref="T59:T61"/>
    <mergeCell ref="T65:T67"/>
    <mergeCell ref="R62:R64"/>
    <mergeCell ref="S62:S64"/>
    <mergeCell ref="T62:T64"/>
    <mergeCell ref="M65:N67"/>
    <mergeCell ref="M62:N64"/>
    <mergeCell ref="S50:S52"/>
    <mergeCell ref="R65:R67"/>
    <mergeCell ref="S59:S61"/>
    <mergeCell ref="S56:S58"/>
    <mergeCell ref="R59:R61"/>
    <mergeCell ref="F53:G55"/>
    <mergeCell ref="H53:I55"/>
    <mergeCell ref="D53:D55"/>
    <mergeCell ref="F47:G49"/>
    <mergeCell ref="H47:I49"/>
    <mergeCell ref="R56:R58"/>
    <mergeCell ref="T56:T58"/>
    <mergeCell ref="S47:S49"/>
    <mergeCell ref="S53:S55"/>
    <mergeCell ref="T53:T55"/>
    <mergeCell ref="R50:R52"/>
    <mergeCell ref="R53:R55"/>
    <mergeCell ref="P53:P55"/>
    <mergeCell ref="O47:O49"/>
    <mergeCell ref="O56:O58"/>
    <mergeCell ref="Q53:Q55"/>
    <mergeCell ref="T47:T49"/>
    <mergeCell ref="T50:T52"/>
    <mergeCell ref="R47:R49"/>
    <mergeCell ref="O50:O52"/>
    <mergeCell ref="O53:O55"/>
    <mergeCell ref="L47:L49"/>
    <mergeCell ref="H50:I52"/>
    <mergeCell ref="L53:L55"/>
    <mergeCell ref="M53:N55"/>
    <mergeCell ref="S41:S43"/>
    <mergeCell ref="O41:O43"/>
    <mergeCell ref="J41:K43"/>
    <mergeCell ref="M41:N43"/>
    <mergeCell ref="D47:D49"/>
    <mergeCell ref="S44:S46"/>
    <mergeCell ref="M47:N49"/>
    <mergeCell ref="R44:R46"/>
    <mergeCell ref="F50:G52"/>
    <mergeCell ref="F44:G46"/>
    <mergeCell ref="H44:I46"/>
    <mergeCell ref="E47:E49"/>
    <mergeCell ref="F41:G43"/>
    <mergeCell ref="H41:I43"/>
    <mergeCell ref="D44:D46"/>
    <mergeCell ref="O44:O46"/>
    <mergeCell ref="D50:D52"/>
    <mergeCell ref="J50:K52"/>
    <mergeCell ref="J47:K49"/>
    <mergeCell ref="E50:E52"/>
    <mergeCell ref="B50:C52"/>
    <mergeCell ref="B53:C55"/>
    <mergeCell ref="D41:D43"/>
    <mergeCell ref="E41:E43"/>
    <mergeCell ref="E53:E55"/>
    <mergeCell ref="L29:L31"/>
    <mergeCell ref="O38:O40"/>
    <mergeCell ref="M38:N40"/>
    <mergeCell ref="L32:L34"/>
    <mergeCell ref="L38:L40"/>
    <mergeCell ref="D38:D40"/>
    <mergeCell ref="F38:G40"/>
    <mergeCell ref="H38:I40"/>
    <mergeCell ref="E38:E40"/>
    <mergeCell ref="J38:K40"/>
    <mergeCell ref="M50:N52"/>
    <mergeCell ref="L41:L43"/>
    <mergeCell ref="M44:N46"/>
    <mergeCell ref="L50:L52"/>
    <mergeCell ref="B38:C40"/>
    <mergeCell ref="B41:C43"/>
    <mergeCell ref="B44:C46"/>
    <mergeCell ref="B47:C49"/>
    <mergeCell ref="J53:K55"/>
    <mergeCell ref="T35:T37"/>
    <mergeCell ref="D29:D37"/>
    <mergeCell ref="E29:E37"/>
    <mergeCell ref="F29:G37"/>
    <mergeCell ref="H29:I37"/>
    <mergeCell ref="J35:K37"/>
    <mergeCell ref="L35:L37"/>
    <mergeCell ref="M35:N37"/>
    <mergeCell ref="O35:O37"/>
    <mergeCell ref="R35:R37"/>
    <mergeCell ref="J29:K31"/>
    <mergeCell ref="S35:S37"/>
    <mergeCell ref="J32:K34"/>
    <mergeCell ref="M29:N31"/>
    <mergeCell ref="M32:N34"/>
    <mergeCell ref="Q20:Q22"/>
    <mergeCell ref="R20:R22"/>
    <mergeCell ref="S20:S22"/>
    <mergeCell ref="T20:T22"/>
    <mergeCell ref="D20:D22"/>
    <mergeCell ref="E20:E22"/>
    <mergeCell ref="F20:G22"/>
    <mergeCell ref="H20:I22"/>
    <mergeCell ref="J20:K22"/>
    <mergeCell ref="L20:L22"/>
    <mergeCell ref="M20:N22"/>
    <mergeCell ref="O20:O22"/>
    <mergeCell ref="P20:P22"/>
  </mergeCells>
  <phoneticPr fontId="41" type="noConversion"/>
  <conditionalFormatting sqref="Q23:Q24 Q26:Q27 Q29:Q30 Q41 Q44 Q47 Q56:Q57">
    <cfRule type="containsBlanks" dxfId="171" priority="862">
      <formula>LEN(TRIM(Q23))=0</formula>
    </cfRule>
  </conditionalFormatting>
  <conditionalFormatting sqref="Q32:Q33">
    <cfRule type="containsBlanks" dxfId="170" priority="84">
      <formula>LEN(TRIM(Q32))=0</formula>
    </cfRule>
  </conditionalFormatting>
  <conditionalFormatting sqref="Q35">
    <cfRule type="containsBlanks" dxfId="169" priority="140">
      <formula>LEN(TRIM(Q35))=0</formula>
    </cfRule>
  </conditionalFormatting>
  <conditionalFormatting sqref="Q62:Q63">
    <cfRule type="containsBlanks" dxfId="168" priority="11">
      <formula>LEN(TRIM(Q62))=0</formula>
    </cfRule>
  </conditionalFormatting>
  <conditionalFormatting sqref="Q68:Q69">
    <cfRule type="containsBlanks" dxfId="167" priority="176">
      <formula>LEN(TRIM(Q68))=0</formula>
    </cfRule>
  </conditionalFormatting>
  <conditionalFormatting sqref="Q71:Q72">
    <cfRule type="containsBlanks" dxfId="166" priority="250">
      <formula>LEN(TRIM(Q71))=0</formula>
    </cfRule>
  </conditionalFormatting>
  <conditionalFormatting sqref="Q74:Q75">
    <cfRule type="containsBlanks" dxfId="165" priority="215">
      <formula>LEN(TRIM(Q74))=0</formula>
    </cfRule>
  </conditionalFormatting>
  <conditionalFormatting sqref="Q77:Q78">
    <cfRule type="containsBlanks" dxfId="164" priority="201">
      <formula>LEN(TRIM(Q77))=0</formula>
    </cfRule>
  </conditionalFormatting>
  <conditionalFormatting sqref="Q80:Q81">
    <cfRule type="containsBlanks" dxfId="163" priority="194">
      <formula>LEN(TRIM(Q80))=0</formula>
    </cfRule>
  </conditionalFormatting>
  <conditionalFormatting sqref="Q83:Q84">
    <cfRule type="containsBlanks" dxfId="162" priority="45">
      <formula>LEN(TRIM(Q83))=0</formula>
    </cfRule>
  </conditionalFormatting>
  <conditionalFormatting sqref="Q86:Q87">
    <cfRule type="containsBlanks" dxfId="161" priority="9">
      <formula>LEN(TRIM(Q86))=0</formula>
    </cfRule>
  </conditionalFormatting>
  <conditionalFormatting sqref="Q89:Q90">
    <cfRule type="containsBlanks" dxfId="160" priority="8">
      <formula>LEN(TRIM(Q89))=0</formula>
    </cfRule>
  </conditionalFormatting>
  <conditionalFormatting sqref="R8:R10">
    <cfRule type="cellIs" dxfId="159" priority="842" stopIfTrue="1" operator="equal">
      <formula>"I.O. (Plausibilität unklar)"</formula>
    </cfRule>
    <cfRule type="cellIs" dxfId="158" priority="841" stopIfTrue="1" operator="equal">
      <formula>"Sollvorgabe nicht erfüllt"</formula>
    </cfRule>
    <cfRule type="expression" dxfId="157" priority="332" stopIfTrue="1">
      <formula>OR(R8=$F$104,R8=$F$103)</formula>
    </cfRule>
    <cfRule type="cellIs" dxfId="156" priority="843" stopIfTrue="1" operator="equal">
      <formula>"I.O."</formula>
    </cfRule>
  </conditionalFormatting>
  <conditionalFormatting sqref="R11:R16">
    <cfRule type="cellIs" dxfId="155" priority="366" stopIfTrue="1" operator="equal">
      <formula>"I.O. (Plausibilität unklar)"</formula>
    </cfRule>
    <cfRule type="cellIs" dxfId="154" priority="367" stopIfTrue="1" operator="equal">
      <formula>"I.O."</formula>
    </cfRule>
  </conditionalFormatting>
  <conditionalFormatting sqref="R11:R28">
    <cfRule type="cellIs" dxfId="153" priority="117" stopIfTrue="1" operator="equal">
      <formula>"Sollvorgabe nicht erfüllt"</formula>
    </cfRule>
  </conditionalFormatting>
  <conditionalFormatting sqref="R17:R22">
    <cfRule type="cellIs" dxfId="152" priority="364" stopIfTrue="1" operator="equal">
      <formula>"I.O."</formula>
    </cfRule>
    <cfRule type="cellIs" dxfId="151" priority="363" stopIfTrue="1" operator="equal">
      <formula>"Ausnahme (Plausibilität unklar)"</formula>
    </cfRule>
  </conditionalFormatting>
  <conditionalFormatting sqref="R23:R28">
    <cfRule type="cellIs" dxfId="150" priority="116" stopIfTrue="1" operator="equal">
      <formula>"I.O. (Plausibilität unklar)"</formula>
    </cfRule>
    <cfRule type="cellIs" dxfId="149" priority="118" stopIfTrue="1" operator="equal">
      <formula>"I.O."</formula>
    </cfRule>
  </conditionalFormatting>
  <conditionalFormatting sqref="R23:R37">
    <cfRule type="cellIs" dxfId="148" priority="41" operator="equal">
      <formula>"Ausnahme (Plausibilität unklar)"</formula>
    </cfRule>
  </conditionalFormatting>
  <conditionalFormatting sqref="R23:R43">
    <cfRule type="expression" dxfId="147" priority="10" stopIfTrue="1">
      <formula>OR(R23=$F$104,R23=$F$103)</formula>
    </cfRule>
  </conditionalFormatting>
  <conditionalFormatting sqref="R29:R37">
    <cfRule type="cellIs" dxfId="146" priority="325" stopIfTrue="1" operator="equal">
      <formula>"Sollvorgabe nicht erfüllt"</formula>
    </cfRule>
  </conditionalFormatting>
  <conditionalFormatting sqref="R29:R40">
    <cfRule type="cellIs" dxfId="145" priority="349" stopIfTrue="1" operator="equal">
      <formula>"I.O."</formula>
    </cfRule>
  </conditionalFormatting>
  <conditionalFormatting sqref="R29:R43">
    <cfRule type="cellIs" dxfId="144" priority="133" stopIfTrue="1" operator="equal">
      <formula>"I.O. (Plausibilität unklar)"</formula>
    </cfRule>
  </conditionalFormatting>
  <conditionalFormatting sqref="R38:R43">
    <cfRule type="cellIs" dxfId="143" priority="132" stopIfTrue="1" operator="equal">
      <formula>"Sollvorgabe nicht erfüllt"</formula>
    </cfRule>
  </conditionalFormatting>
  <conditionalFormatting sqref="R41:R43">
    <cfRule type="cellIs" dxfId="142" priority="131" operator="equal">
      <formula>"Ausnahme (Plausibilität unklar)"</formula>
    </cfRule>
    <cfRule type="cellIs" dxfId="141" priority="134" stopIfTrue="1" operator="equal">
      <formula>"I.O."</formula>
    </cfRule>
  </conditionalFormatting>
  <conditionalFormatting sqref="R44:R58">
    <cfRule type="cellIs" dxfId="140" priority="113" stopIfTrue="1" operator="equal">
      <formula>"I.O. (Plausibilität unklar)"</formula>
    </cfRule>
    <cfRule type="cellIs" dxfId="139" priority="112" stopIfTrue="1" operator="equal">
      <formula>"Sollvorgabe nicht erfüllt"</formula>
    </cfRule>
    <cfRule type="cellIs" dxfId="138" priority="114" stopIfTrue="1" operator="equal">
      <formula>"I.O."</formula>
    </cfRule>
  </conditionalFormatting>
  <conditionalFormatting sqref="R44:R88 R11:R22">
    <cfRule type="expression" dxfId="137" priority="362" stopIfTrue="1">
      <formula>OR(R11=$F$104,R11=$F$103)</formula>
    </cfRule>
  </conditionalFormatting>
  <conditionalFormatting sqref="R56:R58">
    <cfRule type="cellIs" dxfId="136" priority="111" operator="equal">
      <formula>"Ausnahme (Plausibilität unklar)"</formula>
    </cfRule>
  </conditionalFormatting>
  <conditionalFormatting sqref="R59:R64">
    <cfRule type="cellIs" dxfId="135" priority="130" stopIfTrue="1" operator="equal">
      <formula>"I.O."</formula>
    </cfRule>
  </conditionalFormatting>
  <conditionalFormatting sqref="R59:R67">
    <cfRule type="cellIs" dxfId="134" priority="129" stopIfTrue="1" operator="equal">
      <formula>"I.O. (Plausibilität unklar)"</formula>
    </cfRule>
    <cfRule type="cellIs" dxfId="133" priority="128" stopIfTrue="1" operator="equal">
      <formula>"Sollvorgabe nicht erfüllt"</formula>
    </cfRule>
  </conditionalFormatting>
  <conditionalFormatting sqref="R62:R64">
    <cfRule type="cellIs" dxfId="132" priority="127" operator="equal">
      <formula>"Ausnahme (Plausibilität unklar)"</formula>
    </cfRule>
  </conditionalFormatting>
  <conditionalFormatting sqref="R65:R70">
    <cfRule type="cellIs" dxfId="131" priority="175" stopIfTrue="1" operator="equal">
      <formula>"I.O."</formula>
    </cfRule>
  </conditionalFormatting>
  <conditionalFormatting sqref="R68:R70">
    <cfRule type="cellIs" dxfId="130" priority="174" stopIfTrue="1" operator="equal">
      <formula>"Ausnahme (Plausibilität unklar)"</formula>
    </cfRule>
  </conditionalFormatting>
  <conditionalFormatting sqref="R68:R85">
    <cfRule type="cellIs" dxfId="129" priority="88" stopIfTrue="1" operator="equal">
      <formula>"Sollvorgabe nicht erfüllt"</formula>
    </cfRule>
    <cfRule type="cellIs" dxfId="128" priority="89" stopIfTrue="1" operator="equal">
      <formula>"I.O. (Plausibilität unklar)"</formula>
    </cfRule>
  </conditionalFormatting>
  <conditionalFormatting sqref="R71:R82">
    <cfRule type="cellIs" dxfId="127" priority="87" operator="equal">
      <formula>"Ausnahme (Plausibilität unklar)"</formula>
    </cfRule>
  </conditionalFormatting>
  <conditionalFormatting sqref="R71:R85">
    <cfRule type="cellIs" dxfId="126" priority="90" stopIfTrue="1" operator="equal">
      <formula>"I.O."</formula>
    </cfRule>
  </conditionalFormatting>
  <conditionalFormatting sqref="R83:R97">
    <cfRule type="cellIs" dxfId="125" priority="15" stopIfTrue="1" operator="equal">
      <formula>"Ausnahme (Plausibilität unklar)"</formula>
    </cfRule>
  </conditionalFormatting>
  <conditionalFormatting sqref="R86:R97">
    <cfRule type="cellIs" dxfId="124" priority="17" stopIfTrue="1" operator="equal">
      <formula>"I.O. (Plausibilität unklar)"</formula>
    </cfRule>
    <cfRule type="cellIs" dxfId="123" priority="18" stopIfTrue="1" operator="equal">
      <formula>"I.O."</formula>
    </cfRule>
    <cfRule type="cellIs" dxfId="122" priority="16" stopIfTrue="1" operator="equal">
      <formula>"Sollvorgabe nicht erfüllt"</formula>
    </cfRule>
  </conditionalFormatting>
  <conditionalFormatting sqref="R89:R97">
    <cfRule type="cellIs" dxfId="121" priority="14" stopIfTrue="1" operator="equal">
      <formula>"Unvollständig"</formula>
    </cfRule>
  </conditionalFormatting>
  <conditionalFormatting sqref="S8:S20 S23:S97">
    <cfRule type="notContainsBlanks" dxfId="120" priority="26" stopIfTrue="1">
      <formula>LEN(TRIM(S8))&gt;0</formula>
    </cfRule>
    <cfRule type="expression" dxfId="119" priority="392" stopIfTrue="1">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dataValidations count="23">
    <dataValidation type="whole" allowBlank="1" showInputMessage="1" showErrorMessage="1" errorTitle="Eingabefehler" error="1. Tabellenblatt Basisdaten muss vollständig ausgefüllt sein._x000a_2. Zähler muss eine positive ganze Zahl sein._x000a_3. Zähler kann nicht größer als Nenner sein." sqref="Q65 Q44 Q47" xr:uid="{00000000-0002-0000-0700-000000000000}">
      <formula1>0</formula1>
      <formula2>IF(Q45="",5000,Q45)</formula2>
    </dataValidation>
    <dataValidation operator="greaterThanOrEqual" allowBlank="1" showInputMessage="1" showErrorMessage="1" errorTitle="Eingabefehler" sqref="Q53:Q55" xr:uid="{00000000-0002-0000-0700-000001000000}"/>
    <dataValidation errorStyle="information" allowBlank="1" showInputMessage="1" showErrorMessage="1" errorTitle="Kennzahl" promptTitle="Kennzahl" sqref="D6 B6" xr:uid="{00000000-0002-0000-0700-000002000000}"/>
    <dataValidation showInputMessage="1" showErrorMessage="1" errorTitle="Eingabefehler" error="1. Nenner muss eine positive ganze Zahl sein. _x000a_2. Nenner kann nicht kleiner als Zähler sein._x000a_3. Nenner kann nicht größer als &quot;Pat. gesamt (ohne Mehrfachnennung)&quot; sein." sqref="Q36" xr:uid="{00000000-0002-0000-0700-000003000000}"/>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PF LDR-Brachytherapie._x000a_" sqref="Q63" xr:uid="{00000000-0002-0000-0700-000004000000}">
      <formula1>IF(Q62="",0,Q62)</formula1>
      <formula2>IF(ISNUMBER(Q63),IF(Q63&gt;0,IF(Q63&gt;=Q62,$U$63,FALSE),FALSE),FALSE)</formula2>
    </dataValidation>
    <dataValidation type="whole" showInputMessage="1" showErrorMessage="1" errorTitle="Eingabefehler" error="1. Zähler muss eine positive ganze Zahl sein._x000a_2. Zähler kann nicht größer als Nenner sein." sqref="Q77 Q80 Q74 Q89" xr:uid="{00000000-0002-0000-0700-000005000000}">
      <formula1>0</formula1>
      <formula2>IF(Q75="",5000,Q75)</formula2>
    </dataValidation>
    <dataValidation operator="equal" showInputMessage="1" showErrorMessage="1" sqref="Q39" xr:uid="{00000000-0002-0000-0700-000006000000}"/>
    <dataValidation allowBlank="1" showInputMessage="1" showErrorMessage="1" errorTitle="Eingabefehler" sqref="Q59" xr:uid="{00000000-0002-0000-0700-000007000000}"/>
    <dataValidation type="whole" allowBlank="1" showInputMessage="1" showErrorMessage="1" errorTitle="Eingabefehler" error="1. Tabellenblatt Basisdaten muss vollständig ausgefüllt sein._x000a_2. Zähler muss eine positive ganze Zahl sein." sqref="Q50" xr:uid="{00000000-0002-0000-0700-000008000000}">
      <formula1>0</formula1>
      <formula2>5000</formula2>
    </dataValidation>
    <dataValidation type="whole" showErrorMessage="1" errorTitle="Eingabefehler" error="1. Tabellenblatt Basisdaten muss vollständig ausgefüllt sein._x000a_2. Nenner muss eine positive ganze Zahl sein. _x000a_3. Nenner kann nicht kleiner als Zähler sein._x000a_4. Nenner darf nicht größer sein als Anzahl Primärfälle RPE / RZE." sqref="Q30" xr:uid="{00000000-0002-0000-0700-000009000000}">
      <formula1>Q29</formula1>
      <formula2>IF(ISNUMBER(Q30),IF(Q30&gt;0,IF(Q30&gt;=Q29,U30,FALSE),FALSE),FALSE)</formula2>
    </dataValidation>
    <dataValidation type="textLength" allowBlank="1" showInputMessage="1" showErrorMessage="1" errorTitle="Zeichenlänge" error="Minimal 30 Zeichen und max. 500 Zeichen." promptTitle="Hinweis" prompt="Wenn die Datenqualität nicht &quot;I.O.&quot;ist, ist der Kennzahlenwert zu begründen." sqref="S8:S10" xr:uid="{00000000-0002-0000-0700-00000A000000}">
      <formula1>30</formula1>
      <formula2>500</formula2>
    </dataValidation>
    <dataValidation type="textLength" allowBlank="1" showInputMessage="1" showErrorMessage="1" errorTitle="Zeichenlänge" error="Minimal 30 Zeichen und max. 500 Zeichen." sqref="T8:T10 S80 S83 S77 S86 S23:T76 S89:S91 S11:T20 T77:T91 T92:T94 T98:T105 T95:T97" xr:uid="{00000000-0002-0000-0700-00000B000000}">
      <formula1>30</formula1>
      <formula2>500</formula2>
    </dataValidation>
    <dataValidation showInputMessage="1" showErrorMessage="1" sqref="Q38 Q42" xr:uid="{00000000-0002-0000-0700-00000C000000}"/>
    <dataValidation type="whole" showInputMessage="1" showErrorMessage="1" errorTitle="Eingabefehler" error="1. Nenner muss eine positive ganze Zahl sein. _x000a_2. Nenner kann nicht kleiner als Zähler sein." sqref="Q75 Q81 Q78 Q90" xr:uid="{00000000-0002-0000-0700-00000D000000}">
      <formula1>Q74</formula1>
      <formula2>IF(ISNUMBER(Q75),IF(Q75&gt;0,IF(Q75&gt;=Q74,5000,FALSE),FALSE),FALSE)</formula2>
    </dataValidation>
    <dataValidation type="whole" showInputMessage="1" showErrorMessage="1" errorTitle="Eingabefehler" error="1. Basisdaten vollständig ausfüllen._x000a_2. Nenner muss eine positive ganze Zahl sein. _x000a_3. Nenner kann nicht kleiner als Zähler sein._x000a_4. Nenner kann nicht größer sein als die Anzahl der RPE und RZE bei Primärfällen." sqref="Q57" xr:uid="{00000000-0002-0000-0700-00000E000000}">
      <formula1>Q56</formula1>
      <formula2>IF(ISNUMBER(Q57),IF(Q57&gt;0,IF(Q57&gt;=Q56,$U$57,FALSE),FALSE),FALSE)</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ößer als die Anzahl der Primärfälle sein." sqref="Q69 Q84 Q72" xr:uid="{00000000-0002-0000-0700-00000F000000}">
      <formula1>Q68</formula1>
      <formula2>IF(ISNUMBER(Q69),IF(Q69&gt;0,IF(Q69&gt;=Q68,$Q$8,FALSE),FALSE),FALSE)</formula2>
    </dataValidation>
    <dataValidation type="whole" showInputMessage="1" showErrorMessage="1" errorTitle="Eingabefehler" error="1.Nenner muss eine positive ganze Zahl sein. _x000a_2.Nenner kann nicht kleiner als Zähler sein._x000a_3.Nenner kann nicht kleiner als Primärfälle mit M1 sein._x000a_4.Nenner kann nicht größer als Summe PF mit M1 und nicht zuzuordnen sein. " sqref="Q33" xr:uid="{00000000-0002-0000-0700-000010000000}">
      <formula1>IF(Q32=0,0,IF(Q32&gt;U33,Q32,U33))</formula1>
      <formula2>U34</formula2>
    </dataValidation>
    <dataValidation type="whole" showInputMessage="1" showErrorMessage="1" errorTitle="Eingabefehler" error="1. Tabellenblatt Basisdaten muss vollständig ausgefüllt sein._x000a_2. Zähler muss eine positive ganze Zahl sein._x000a_3. Zähler kann nicht größer als Nenner sein." sqref="Q23 Q26 Q29 Q32 Q35 Q41 Q56 Q62 Q68 Q71 Q83 Q86" xr:uid="{00000000-0002-0000-0700-000011000000}">
      <formula1>0</formula1>
      <formula2>IF(Q24="",5000,Q24)</formula2>
    </dataValidation>
    <dataValidation type="whole" showInputMessage="1" showErrorMessage="1" errorTitle="Eingabefehler" error="1. Tabellenblatt Basisdaten muss vollständig ausgefüllt sein._x000a_2. Nenner muss eine positive ganze Zahl sein. _x000a_3. Nenner kann nicht kleiner als Zähler sein._x000a_4. Nenner kann nicht großer als Anzahl Primärfälle RPE." sqref="Q87" xr:uid="{00000000-0002-0000-0700-000012000000}">
      <formula1>Q86</formula1>
      <formula2>IF(ISNUMBER(Q87),IF(Q87&gt;0,IF(Q87&gt;=Q86,$U$87,FALSE),FALSE),FALSE)</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4" xr:uid="{00000000-0002-0000-0700-000013000000}">
      <formula1>Q23</formula1>
      <formula2>Q8-U24-Q27</formula2>
    </dataValidation>
    <dataValidation type="whole" showInputMessage="1" showErrorMessage="1" errorTitle="Eingabefehler" error="1.Basisdaten vollständig ausfüllen._x000a_2.Nenner muss eine positive ganze Zahl sein._x000a_3.Nenner kann nicht kleiner als Zähler sein._x000a_4.Nenner KN 2a + Nenner KN 2b kann nicht größer als Primärfälle (ohne primär M1) sein." sqref="Q27" xr:uid="{00000000-0002-0000-0700-000014000000}">
      <formula1>Q26</formula1>
      <formula2>Q8-U24-Q24</formula2>
    </dataValidation>
    <dataValidation type="whole" allowBlank="1" showInputMessage="1" showErrorMessage="1" errorTitle="Eingabefehler" error="1. Zähler muss eine positive ganze Zahl sein._x000a_2. Zähler kann nicht größer als Nenner sein." sqref="Q92 Q95" xr:uid="{00000000-0002-0000-0700-000015000000}">
      <formula1>0</formula1>
      <formula2>IF(Q93="",5000,Q93)</formula2>
    </dataValidation>
    <dataValidation type="whole" allowBlank="1" showInputMessage="1" showErrorMessage="1" errorTitle="Zeichenlänge" error="Minimal 30 Zeichen und max. 500 Zeichen." sqref="S92:S97" xr:uid="{00000000-0002-0000-0700-000016000000}">
      <formula1>30</formula1>
      <formula2>500</formula2>
    </dataValidation>
  </dataValidations>
  <pageMargins left="0.25" right="0.25" top="0.75" bottom="0.75" header="0.3" footer="0.3"/>
  <pageSetup paperSize="9" scale="98" fitToHeight="0"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8" manualBreakCount="8">
    <brk id="19" max="17" man="1"/>
    <brk id="28" max="17" man="1"/>
    <brk id="40" max="17" man="1"/>
    <brk id="52" max="17" man="1"/>
    <brk id="64" max="17" man="1"/>
    <brk id="76" max="17" man="1"/>
    <brk id="85" max="17" man="1"/>
    <brk id="94" max="17" man="1"/>
  </rowBreaks>
  <ignoredErrors>
    <ignoredError sqref="D8" twoDigitTextYear="1"/>
    <ignoredError sqref="B12:D13 B24:D28 C23 B39:C40 B63:C64 C30:C31 C29 C38 B45:C46 C44 B48:C49 C47 B51:C52 C50 B54:C55 C53 B57:C58 C56 B60:C61 C59 C62 B66:C67 C65 C33:C34 B15:D16 B14 D14 B18:D19 B17 D17" numberStoredAsText="1"/>
    <ignoredError sqref="D23 D44:D46 D50:D55 D48:D49" twoDigitTextYear="1" numberStoredAsText="1"/>
  </ignoredErrors>
  <drawing r:id="rId3"/>
  <legacyDrawing r:id="rId4"/>
  <legacyDrawingHF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L41"/>
  <sheetViews>
    <sheetView showGridLines="0" zoomScaleNormal="100" workbookViewId="0">
      <selection activeCell="B1" sqref="B1"/>
    </sheetView>
  </sheetViews>
  <sheetFormatPr defaultColWidth="11.42578125" defaultRowHeight="15" x14ac:dyDescent="0.25"/>
  <cols>
    <col min="1" max="1" width="23.42578125" customWidth="1"/>
    <col min="2" max="2" width="22" customWidth="1"/>
    <col min="3" max="3" width="13.28515625" style="110" customWidth="1"/>
    <col min="4" max="4" width="13.85546875" style="97" customWidth="1"/>
    <col min="5" max="5" width="9.42578125" style="97" customWidth="1"/>
    <col min="6" max="6" width="41.140625" style="14" customWidth="1"/>
    <col min="7" max="7" width="43.7109375" customWidth="1"/>
    <col min="8" max="8" width="10.42578125" customWidth="1"/>
    <col min="9" max="9" width="41.42578125" customWidth="1"/>
    <col min="10" max="11" width="32" style="110" customWidth="1"/>
    <col min="12" max="12" width="30.140625" style="110" customWidth="1"/>
  </cols>
  <sheetData>
    <row r="1" spans="1:11" x14ac:dyDescent="0.25">
      <c r="A1" s="186" t="s">
        <v>71</v>
      </c>
      <c r="B1" s="156">
        <v>219</v>
      </c>
    </row>
    <row r="2" spans="1:11" x14ac:dyDescent="0.25">
      <c r="A2" s="186" t="s">
        <v>16</v>
      </c>
      <c r="B2" s="156" t="str">
        <f>IF(Basisdaten!C6=0,"",Basisdaten!C6)</f>
        <v/>
      </c>
    </row>
    <row r="3" spans="1:11" x14ac:dyDescent="0.25">
      <c r="A3" s="186" t="s">
        <v>80</v>
      </c>
      <c r="B3" s="157" t="str">
        <f>IF(Basisdaten!M12=0,"",Basisdaten!M12)</f>
        <v/>
      </c>
    </row>
    <row r="4" spans="1:11" ht="15.75" customHeight="1" x14ac:dyDescent="0.25"/>
    <row r="5" spans="1:11" ht="12.75" customHeight="1" x14ac:dyDescent="0.25">
      <c r="A5" s="196" t="s">
        <v>408</v>
      </c>
      <c r="B5" s="156"/>
      <c r="C5"/>
      <c r="D5"/>
      <c r="E5"/>
      <c r="F5"/>
    </row>
    <row r="6" spans="1:11" ht="12.75" customHeight="1" x14ac:dyDescent="0.25">
      <c r="A6" s="196" t="s">
        <v>409</v>
      </c>
      <c r="B6" s="156"/>
      <c r="C6"/>
      <c r="D6"/>
      <c r="E6"/>
      <c r="F6"/>
    </row>
    <row r="7" spans="1:11" ht="12.75" customHeight="1" x14ac:dyDescent="0.25">
      <c r="A7" s="196" t="s">
        <v>410</v>
      </c>
      <c r="B7" s="156"/>
      <c r="C7"/>
      <c r="D7"/>
      <c r="E7"/>
      <c r="F7"/>
    </row>
    <row r="8" spans="1:11" ht="12.75" customHeight="1" x14ac:dyDescent="0.25">
      <c r="A8" s="196" t="s">
        <v>411</v>
      </c>
      <c r="B8" s="156"/>
      <c r="C8"/>
      <c r="D8"/>
      <c r="E8"/>
      <c r="F8"/>
    </row>
    <row r="9" spans="1:11" ht="12.75" customHeight="1" x14ac:dyDescent="0.25">
      <c r="A9" s="196" t="s">
        <v>412</v>
      </c>
      <c r="B9" s="156"/>
      <c r="C9"/>
      <c r="D9"/>
      <c r="E9"/>
      <c r="F9"/>
    </row>
    <row r="10" spans="1:11" ht="24" customHeight="1" x14ac:dyDescent="0.25"/>
    <row r="11" spans="1:11" s="191" customFormat="1" ht="21" customHeight="1" x14ac:dyDescent="0.2">
      <c r="A11" s="197" t="s">
        <v>70</v>
      </c>
      <c r="B11" s="151" t="s">
        <v>69</v>
      </c>
      <c r="C11" s="151" t="s">
        <v>4</v>
      </c>
      <c r="D11" s="151" t="s">
        <v>15</v>
      </c>
      <c r="E11" s="151" t="s">
        <v>68</v>
      </c>
      <c r="F11" s="151" t="s">
        <v>72</v>
      </c>
      <c r="G11" s="151" t="s">
        <v>66</v>
      </c>
      <c r="H11" s="151" t="s">
        <v>67</v>
      </c>
      <c r="I11" s="199" t="s">
        <v>413</v>
      </c>
      <c r="J11" s="199" t="s">
        <v>414</v>
      </c>
      <c r="K11" s="199" t="s">
        <v>415</v>
      </c>
    </row>
    <row r="12" spans="1:11" s="190" customFormat="1" ht="27.95" customHeight="1" x14ac:dyDescent="0.25">
      <c r="A12" s="198" t="s">
        <v>232</v>
      </c>
      <c r="B12" s="195" t="str">
        <f>IF('Kennzahlenbogen_(KB)'!Q8 = 0, "n.d.", 'Kennzahlenbogen_(KB)'!Q8)</f>
        <v>n.d.</v>
      </c>
      <c r="C12" s="194"/>
      <c r="D12" s="193"/>
      <c r="E12" s="195">
        <f>Berechnung1!N29</f>
        <v>1</v>
      </c>
      <c r="F12" s="187" t="str">
        <f>IF('Kennzahlenbogen_(KB)'!S8 = "", "", 'Kennzahlenbogen_(KB)'!S8)</f>
        <v/>
      </c>
      <c r="G12" s="187" t="str">
        <f>IF('Kennzahlenbogen_(KB)'!T8 = "", "", 'Kennzahlenbogen_(KB)'!T8)</f>
        <v/>
      </c>
      <c r="H12" s="195">
        <f>Berechnung1!O29</f>
        <v>0</v>
      </c>
      <c r="I12" s="192"/>
      <c r="J12" s="156"/>
      <c r="K12" s="156"/>
    </row>
    <row r="13" spans="1:11" s="190" customFormat="1" ht="27.95" customHeight="1" x14ac:dyDescent="0.25">
      <c r="A13" s="200" t="s">
        <v>416</v>
      </c>
      <c r="B13" s="195" t="str">
        <f>IF('Kennzahlenbogen_(KB)'!Q11 = 0, "n.d.", 'Kennzahlenbogen_(KB)'!Q11)</f>
        <v>n.d.</v>
      </c>
      <c r="C13" s="194"/>
      <c r="D13" s="193"/>
      <c r="E13" s="195">
        <f>Berechnung1!N32</f>
        <v>1</v>
      </c>
      <c r="F13" s="187" t="str">
        <f>IF('Kennzahlenbogen_(KB)'!S11 = "", "", 'Kennzahlenbogen_(KB)'!S11)</f>
        <v/>
      </c>
      <c r="G13" s="187" t="str">
        <f>IF('Kennzahlenbogen_(KB)'!T11 = "", "", 'Kennzahlenbogen_(KB)'!T11)</f>
        <v/>
      </c>
      <c r="H13" s="195">
        <f>Berechnung1!O32</f>
        <v>0</v>
      </c>
      <c r="I13" s="192"/>
      <c r="J13" s="156"/>
      <c r="K13" s="156"/>
    </row>
    <row r="14" spans="1:11" s="190" customFormat="1" ht="27.95" customHeight="1" x14ac:dyDescent="0.25">
      <c r="A14" s="200" t="s">
        <v>417</v>
      </c>
      <c r="B14" s="195" t="str">
        <f>IF('Kennzahlenbogen_(KB)'!Q14 = 0, "n.d.", 'Kennzahlenbogen_(KB)'!Q14)</f>
        <v>n.d.</v>
      </c>
      <c r="C14" s="194"/>
      <c r="D14" s="193"/>
      <c r="E14" s="195">
        <f>Berechnung1!N35</f>
        <v>1</v>
      </c>
      <c r="F14" s="187" t="str">
        <f>IF('Kennzahlenbogen_(KB)'!S14 = "", "", 'Kennzahlenbogen_(KB)'!S14)</f>
        <v/>
      </c>
      <c r="G14" s="187" t="str">
        <f>IF('Kennzahlenbogen_(KB)'!T14 = "", "", 'Kennzahlenbogen_(KB)'!T14)</f>
        <v/>
      </c>
      <c r="H14" s="195">
        <f>Berechnung1!O35</f>
        <v>0</v>
      </c>
      <c r="I14" s="192"/>
      <c r="J14" s="156"/>
      <c r="K14" s="156"/>
    </row>
    <row r="15" spans="1:11" s="190" customFormat="1" ht="27.95" customHeight="1" x14ac:dyDescent="0.25">
      <c r="A15" s="200" t="s">
        <v>418</v>
      </c>
      <c r="B15" s="195" t="str">
        <f>IF('Kennzahlenbogen_(KB)'!Q17 = 0, "n.d.", 'Kennzahlenbogen_(KB)'!Q17)</f>
        <v>n.d.</v>
      </c>
      <c r="C15" s="194"/>
      <c r="D15" s="193"/>
      <c r="E15" s="195">
        <f>Berechnung1!N38</f>
        <v>1</v>
      </c>
      <c r="F15" s="187" t="str">
        <f>IF('Kennzahlenbogen_(KB)'!S17 = "", "", 'Kennzahlenbogen_(KB)'!S17)</f>
        <v/>
      </c>
      <c r="G15" s="187" t="str">
        <f>IF('Kennzahlenbogen_(KB)'!T17 = "", "", 'Kennzahlenbogen_(KB)'!T17)</f>
        <v/>
      </c>
      <c r="H15" s="195">
        <f>Berechnung1!O38</f>
        <v>0</v>
      </c>
      <c r="I15" s="192"/>
      <c r="J15" s="156"/>
      <c r="K15" s="156"/>
    </row>
    <row r="16" spans="1:11" s="190" customFormat="1" ht="27.95" customHeight="1" x14ac:dyDescent="0.25">
      <c r="A16" s="200" t="s">
        <v>715</v>
      </c>
      <c r="B16" s="524" t="str">
        <f>IF('Kennzahlenbogen_(KB)'!$Q20=0,"n.d.",'Kennzahlenbogen_(KB)'!$Q20)</f>
        <v>n.d.</v>
      </c>
      <c r="C16" s="194"/>
      <c r="D16" s="193"/>
      <c r="E16" s="195">
        <f>Berechnung1!N41</f>
        <v>1</v>
      </c>
      <c r="F16" s="187" t="str">
        <f>IF('Kennzahlenbogen_(KB)'!S20 = "", "", 'Kennzahlenbogen_(KB)'!S20)</f>
        <v/>
      </c>
      <c r="G16" s="187" t="str">
        <f>IF('Kennzahlenbogen_(KB)'!T20 = "", "", 'Kennzahlenbogen_(KB)'!T20)</f>
        <v/>
      </c>
      <c r="H16" s="195">
        <f>Berechnung1!O41</f>
        <v>0</v>
      </c>
      <c r="I16" s="192"/>
      <c r="J16" s="156"/>
      <c r="K16" s="156"/>
    </row>
    <row r="17" spans="1:11" s="190" customFormat="1" ht="27.95" customHeight="1" x14ac:dyDescent="0.25">
      <c r="A17" s="200" t="s">
        <v>238</v>
      </c>
      <c r="B17" s="195" t="str">
        <f>IF('Kennzahlenbogen_(KB)'!$Q23 = "", "", 'Kennzahlenbogen_(KB)'!$Q23)</f>
        <v/>
      </c>
      <c r="C17" s="195" t="str">
        <f>IF('Kennzahlenbogen_(KB)'!$Q24 = "", "", 'Kennzahlenbogen_(KB)'!$Q24)</f>
        <v/>
      </c>
      <c r="D17" s="402" t="str">
        <f>IF('Kennzahlenbogen_(KB)'!$Q25 ="n.d.","n.d.",IF('Kennzahlenbogen_(KB)'!$Q25 ="","n.d.",'Kennzahlenbogen_(KB)'!$Q25*100))</f>
        <v>n.d.</v>
      </c>
      <c r="E17" s="195">
        <f>Berechnung1!N44</f>
        <v>1</v>
      </c>
      <c r="F17" s="187" t="str">
        <f>IF('Kennzahlenbogen_(KB)'!S23 = "", "", 'Kennzahlenbogen_(KB)'!S23)</f>
        <v/>
      </c>
      <c r="G17" s="187" t="str">
        <f>IF('Kennzahlenbogen_(KB)'!T23 = "", "", 'Kennzahlenbogen_(KB)'!T23)</f>
        <v/>
      </c>
      <c r="H17" s="195">
        <f>Berechnung1!O44</f>
        <v>0</v>
      </c>
      <c r="I17" s="192"/>
      <c r="J17" s="156"/>
      <c r="K17" s="156"/>
    </row>
    <row r="18" spans="1:11" s="190" customFormat="1" ht="27.95" customHeight="1" x14ac:dyDescent="0.25">
      <c r="A18" s="200" t="s">
        <v>237</v>
      </c>
      <c r="B18" s="195" t="str">
        <f>IF('Kennzahlenbogen_(KB)'!$Q26 = "", "", 'Kennzahlenbogen_(KB)'!$Q26)</f>
        <v/>
      </c>
      <c r="C18" s="195" t="str">
        <f>IF('Kennzahlenbogen_(KB)'!$Q27 = "", "", 'Kennzahlenbogen_(KB)'!$Q27)</f>
        <v/>
      </c>
      <c r="D18" s="402" t="str">
        <f>IF('Kennzahlenbogen_(KB)'!$Q28 ="n.d.","n.d.",IF('Kennzahlenbogen_(KB)'!$Q28 ="","n.d.",'Kennzahlenbogen_(KB)'!$Q28*100))</f>
        <v>n.d.</v>
      </c>
      <c r="E18" s="195">
        <f>Berechnung1!N47</f>
        <v>1</v>
      </c>
      <c r="F18" s="187" t="str">
        <f>IF('Kennzahlenbogen_(KB)'!S26 = "", "", 'Kennzahlenbogen_(KB)'!S26)</f>
        <v/>
      </c>
      <c r="G18" s="187" t="str">
        <f>IF('Kennzahlenbogen_(KB)'!T26 = "", "", 'Kennzahlenbogen_(KB)'!T26)</f>
        <v/>
      </c>
      <c r="H18" s="195">
        <f>Berechnung1!O47</f>
        <v>0</v>
      </c>
      <c r="I18" s="192"/>
      <c r="J18" s="156"/>
      <c r="K18" s="156"/>
    </row>
    <row r="19" spans="1:11" s="190" customFormat="1" ht="27.95" customHeight="1" x14ac:dyDescent="0.25">
      <c r="A19" s="200" t="s">
        <v>242</v>
      </c>
      <c r="B19" s="195" t="str">
        <f>IF('Kennzahlenbogen_(KB)'!$Q29 = "", "", 'Kennzahlenbogen_(KB)'!$Q29)</f>
        <v/>
      </c>
      <c r="C19" s="195" t="str">
        <f>IF('Kennzahlenbogen_(KB)'!$Q30= "", "", 'Kennzahlenbogen_(KB)'!$Q30)</f>
        <v/>
      </c>
      <c r="D19" s="402" t="str">
        <f>IF('Kennzahlenbogen_(KB)'!$Q31 ="n.d.","n.d.",IF('Kennzahlenbogen_(KB)'!$Q31 ="","n.d.",'Kennzahlenbogen_(KB)'!$Q31*100))</f>
        <v>n.d.</v>
      </c>
      <c r="E19" s="195">
        <f>Berechnung1!N50</f>
        <v>1</v>
      </c>
      <c r="F19" s="187" t="str">
        <f>IF('Kennzahlenbogen_(KB)'!S29 = "", "", 'Kennzahlenbogen_(KB)'!S29)</f>
        <v/>
      </c>
      <c r="G19" s="187" t="str">
        <f>IF('Kennzahlenbogen_(KB)'!T29 = "", "", 'Kennzahlenbogen_(KB)'!T29)</f>
        <v/>
      </c>
      <c r="H19" s="195">
        <f>Berechnung1!O50</f>
        <v>0</v>
      </c>
      <c r="I19" s="192"/>
      <c r="J19" s="156"/>
      <c r="K19" s="156"/>
    </row>
    <row r="20" spans="1:11" s="190" customFormat="1" ht="27.95" customHeight="1" x14ac:dyDescent="0.25">
      <c r="A20" s="200" t="s">
        <v>243</v>
      </c>
      <c r="B20" s="195" t="str">
        <f>IF('Kennzahlenbogen_(KB)'!$Q32= "", "", 'Kennzahlenbogen_(KB)'!$Q32)</f>
        <v/>
      </c>
      <c r="C20" s="195" t="str">
        <f>IF('Kennzahlenbogen_(KB)'!$Q33= "", "", 'Kennzahlenbogen_(KB)'!$Q33)</f>
        <v/>
      </c>
      <c r="D20" s="402" t="str">
        <f>IF('Kennzahlenbogen_(KB)'!$Q34="n.d.","n.d.",IF('Kennzahlenbogen_(KB)'!$Q34="","n.d.",'Kennzahlenbogen_(KB)'!$Q34*100))</f>
        <v>n.d.</v>
      </c>
      <c r="E20" s="195">
        <f>Berechnung1!N53</f>
        <v>1</v>
      </c>
      <c r="F20" s="187" t="str">
        <f>IF('Kennzahlenbogen_(KB)'!S32= "", "", 'Kennzahlenbogen_(KB)'!S32)</f>
        <v/>
      </c>
      <c r="G20" s="187" t="str">
        <f>IF('Kennzahlenbogen_(KB)'!T32= "", "", 'Kennzahlenbogen_(KB)'!T32)</f>
        <v/>
      </c>
      <c r="H20" s="195">
        <f>Berechnung1!O53</f>
        <v>0</v>
      </c>
      <c r="I20" s="192"/>
      <c r="J20" s="156"/>
      <c r="K20" s="156"/>
    </row>
    <row r="21" spans="1:11" s="190" customFormat="1" ht="27.95" customHeight="1" x14ac:dyDescent="0.25">
      <c r="A21" s="200" t="s">
        <v>564</v>
      </c>
      <c r="B21" s="195" t="str">
        <f>IF('Kennzahlenbogen_(KB)'!$Q35= "", "", 'Kennzahlenbogen_(KB)'!$Q35)</f>
        <v/>
      </c>
      <c r="C21" s="195">
        <f>IF('Kennzahlenbogen_(KB)'!$Q36= "", "", 'Kennzahlenbogen_(KB)'!$Q36)</f>
        <v>0</v>
      </c>
      <c r="D21" s="402" t="str">
        <f>IF('Kennzahlenbogen_(KB)'!$Q37="n.d.","n.d.",IF('Kennzahlenbogen_(KB)'!$Q37="","n.d.",'Kennzahlenbogen_(KB)'!$Q37*100))</f>
        <v>n.d.</v>
      </c>
      <c r="E21" s="195">
        <f>Berechnung1!N56</f>
        <v>1</v>
      </c>
      <c r="F21" s="187" t="str">
        <f>IF('Kennzahlenbogen_(KB)'!S35= "", "", 'Kennzahlenbogen_(KB)'!S35)</f>
        <v/>
      </c>
      <c r="G21" s="187" t="str">
        <f>IF('Kennzahlenbogen_(KB)'!T35= "", "", 'Kennzahlenbogen_(KB)'!T35)</f>
        <v/>
      </c>
      <c r="H21" s="195">
        <f>Berechnung1!O56</f>
        <v>0</v>
      </c>
      <c r="I21" s="192"/>
      <c r="J21" s="156"/>
      <c r="K21" s="156"/>
    </row>
    <row r="22" spans="1:11" s="190" customFormat="1" ht="27.95" customHeight="1" x14ac:dyDescent="0.25">
      <c r="A22" s="198">
        <v>4</v>
      </c>
      <c r="B22" s="195">
        <f>IF('Kennzahlenbogen_(KB)'!$Q38 = "", "", 'Kennzahlenbogen_(KB)'!$Q38)</f>
        <v>0</v>
      </c>
      <c r="C22" s="195">
        <f>IF('Kennzahlenbogen_(KB)'!$Q39 = "", "", 'Kennzahlenbogen_(KB)'!$Q39)</f>
        <v>0</v>
      </c>
      <c r="D22" s="304" t="str">
        <f>IF('Kennzahlenbogen_(KB)'!$Q40 ="n.d.","n.d.",'Kennzahlenbogen_(KB)'!$Q40*100)</f>
        <v>n.d.</v>
      </c>
      <c r="E22" s="195">
        <f>Berechnung1!N59</f>
        <v>1</v>
      </c>
      <c r="F22" s="187" t="str">
        <f>IF('Kennzahlenbogen_(KB)'!S38 = "", "", 'Kennzahlenbogen_(KB)'!S38)</f>
        <v/>
      </c>
      <c r="G22" s="187" t="str">
        <f>IF('Kennzahlenbogen_(KB)'!T38 = "", "", 'Kennzahlenbogen_(KB)'!T38)</f>
        <v/>
      </c>
      <c r="H22" s="195">
        <f>Berechnung1!O59</f>
        <v>0</v>
      </c>
      <c r="I22" s="192"/>
      <c r="J22" s="156"/>
      <c r="K22" s="156"/>
    </row>
    <row r="23" spans="1:11" s="190" customFormat="1" ht="27.95" customHeight="1" x14ac:dyDescent="0.25">
      <c r="A23" s="198">
        <v>5</v>
      </c>
      <c r="B23" s="195" t="str">
        <f>IF('Kennzahlenbogen_(KB)'!$Q41 = "", "", 'Kennzahlenbogen_(KB)'!$Q41)</f>
        <v/>
      </c>
      <c r="C23" s="195">
        <f>IF('Kennzahlenbogen_(KB)'!$Q42 = "", "", 'Kennzahlenbogen_(KB)'!$Q42)</f>
        <v>0</v>
      </c>
      <c r="D23" s="402" t="str">
        <f>IF('Kennzahlenbogen_(KB)'!$Q43 ="n.d.","n.d.",IF('Kennzahlenbogen_(KB)'!$Q43 ="","n.d.",'Kennzahlenbogen_(KB)'!$Q43*100))</f>
        <v>n.d.</v>
      </c>
      <c r="E23" s="195">
        <f>Berechnung1!N62</f>
        <v>1</v>
      </c>
      <c r="F23" s="187" t="str">
        <f>IF('Kennzahlenbogen_(KB)'!S41 = "", "", 'Kennzahlenbogen_(KB)'!S41)</f>
        <v/>
      </c>
      <c r="G23" s="187" t="str">
        <f>IF('Kennzahlenbogen_(KB)'!T41 = "", "", 'Kennzahlenbogen_(KB)'!T41)</f>
        <v/>
      </c>
      <c r="H23" s="195">
        <f>Berechnung1!O62</f>
        <v>0</v>
      </c>
      <c r="I23" s="192"/>
      <c r="J23" s="156"/>
      <c r="K23" s="156"/>
    </row>
    <row r="24" spans="1:11" s="190" customFormat="1" ht="27.95" customHeight="1" x14ac:dyDescent="0.25">
      <c r="A24" s="198">
        <v>6</v>
      </c>
      <c r="B24" s="195" t="str">
        <f>IF('Kennzahlenbogen_(KB)'!$Q44= "", "", 'Kennzahlenbogen_(KB)'!$Q44)</f>
        <v/>
      </c>
      <c r="C24" s="195">
        <f>IF('Kennzahlenbogen_(KB)'!$Q45= "", "", 'Kennzahlenbogen_(KB)'!$Q45)</f>
        <v>0</v>
      </c>
      <c r="D24" s="304" t="str">
        <f>IF('Kennzahlenbogen_(KB)'!$Q46 ="n.d.","n.d.",'Kennzahlenbogen_(KB)'!$Q46*100)</f>
        <v>n.d.</v>
      </c>
      <c r="E24" s="195">
        <f>Berechnung1!N65</f>
        <v>1</v>
      </c>
      <c r="F24" s="187" t="str">
        <f>IF('Kennzahlenbogen_(KB)'!S44= "", "", 'Kennzahlenbogen_(KB)'!S44)</f>
        <v/>
      </c>
      <c r="G24" s="187" t="str">
        <f>IF('Kennzahlenbogen_(KB)'!T44= "", "", 'Kennzahlenbogen_(KB)'!T44)</f>
        <v/>
      </c>
      <c r="H24" s="195">
        <f>Berechnung1!O65</f>
        <v>0</v>
      </c>
      <c r="I24" s="192"/>
      <c r="J24" s="156"/>
      <c r="K24" s="156"/>
    </row>
    <row r="25" spans="1:11" s="190" customFormat="1" ht="27.95" customHeight="1" x14ac:dyDescent="0.25">
      <c r="A25" s="198">
        <v>7</v>
      </c>
      <c r="B25" s="195" t="str">
        <f>IF('Kennzahlenbogen_(KB)'!$Q47= "", "", 'Kennzahlenbogen_(KB)'!$Q47)</f>
        <v/>
      </c>
      <c r="C25" s="195">
        <f>IF('Kennzahlenbogen_(KB)'!$Q48= "", "", 'Kennzahlenbogen_(KB)'!$Q48)</f>
        <v>0</v>
      </c>
      <c r="D25" s="304" t="str">
        <f>IF('Kennzahlenbogen_(KB)'!$Q49 ="n.d.","n.d.",'Kennzahlenbogen_(KB)'!$Q49*100)</f>
        <v>n.d.</v>
      </c>
      <c r="E25" s="195">
        <f>Berechnung1!N68</f>
        <v>1</v>
      </c>
      <c r="F25" s="187" t="str">
        <f>IF('Kennzahlenbogen_(KB)'!S47= "", "", 'Kennzahlenbogen_(KB)'!S47)</f>
        <v/>
      </c>
      <c r="G25" s="187" t="str">
        <f>IF('Kennzahlenbogen_(KB)'!T47= "", "", 'Kennzahlenbogen_(KB)'!T47)</f>
        <v/>
      </c>
      <c r="H25" s="195">
        <f>Berechnung1!O68</f>
        <v>0</v>
      </c>
      <c r="I25" s="192"/>
      <c r="J25" s="156"/>
      <c r="K25" s="156"/>
    </row>
    <row r="26" spans="1:11" s="190" customFormat="1" ht="27.95" customHeight="1" x14ac:dyDescent="0.25">
      <c r="A26" s="198">
        <v>8</v>
      </c>
      <c r="B26" s="195">
        <f>IF('Kennzahlenbogen_(KB)'!$Q50= "", "", 'Kennzahlenbogen_(KB)'!$Q50)</f>
        <v>0</v>
      </c>
      <c r="C26" s="195">
        <f>IF('Kennzahlenbogen_(KB)'!$Q51= "", "", 'Kennzahlenbogen_(KB)'!$Q51)</f>
        <v>0</v>
      </c>
      <c r="D26" s="304" t="str">
        <f>IF('Kennzahlenbogen_(KB)'!$Q52 ="n.d.","n.d.",'Kennzahlenbogen_(KB)'!$Q52*100)</f>
        <v>n.d.</v>
      </c>
      <c r="E26" s="195">
        <f>Berechnung1!N71</f>
        <v>1</v>
      </c>
      <c r="F26" s="187" t="str">
        <f>IF('Kennzahlenbogen_(KB)'!S50= "", "", 'Kennzahlenbogen_(KB)'!S50)</f>
        <v/>
      </c>
      <c r="G26" s="187" t="str">
        <f>IF('Kennzahlenbogen_(KB)'!T50= "", "", 'Kennzahlenbogen_(KB)'!T50)</f>
        <v/>
      </c>
      <c r="H26" s="195">
        <f>Berechnung1!O71</f>
        <v>0</v>
      </c>
      <c r="I26" s="192"/>
      <c r="J26" s="156"/>
      <c r="K26" s="156"/>
    </row>
    <row r="27" spans="1:11" s="190" customFormat="1" ht="27.95" customHeight="1" x14ac:dyDescent="0.25">
      <c r="A27" s="198">
        <v>9</v>
      </c>
      <c r="B27" s="195" t="str">
        <f>IF('Kennzahlenbogen_(KB)'!$Q53= 0, "n.d.", 'Kennzahlenbogen_(KB)'!$Q53)</f>
        <v>n.d.</v>
      </c>
      <c r="C27" s="189"/>
      <c r="D27" s="188"/>
      <c r="E27" s="195">
        <f>Berechnung1!N74</f>
        <v>1</v>
      </c>
      <c r="F27" s="187" t="str">
        <f>IF('Kennzahlenbogen_(KB)'!S53= "", "", 'Kennzahlenbogen_(KB)'!S53)</f>
        <v/>
      </c>
      <c r="G27" s="187" t="str">
        <f>IF('Kennzahlenbogen_(KB)'!T53= "", "", 'Kennzahlenbogen_(KB)'!T53)</f>
        <v/>
      </c>
      <c r="H27" s="195">
        <f>Berechnung1!O74</f>
        <v>0</v>
      </c>
      <c r="I27" s="192"/>
      <c r="J27" s="156"/>
      <c r="K27" s="156"/>
    </row>
    <row r="28" spans="1:11" s="190" customFormat="1" ht="27.95" customHeight="1" x14ac:dyDescent="0.25">
      <c r="A28" s="198">
        <v>10</v>
      </c>
      <c r="B28" s="195" t="str">
        <f>IF('Kennzahlenbogen_(KB)'!$Q56= "", "", 'Kennzahlenbogen_(KB)'!$Q56)</f>
        <v/>
      </c>
      <c r="C28" s="195" t="str">
        <f>IF('Kennzahlenbogen_(KB)'!$Q57= "", "", 'Kennzahlenbogen_(KB)'!$Q57)</f>
        <v/>
      </c>
      <c r="D28" s="402" t="str">
        <f>IF('Kennzahlenbogen_(KB)'!$Q58 ="n.d.","n.d.",IF('Kennzahlenbogen_(KB)'!$Q58 ="","n.d.",'Kennzahlenbogen_(KB)'!$Q58*100))</f>
        <v>n.d.</v>
      </c>
      <c r="E28" s="195">
        <f>Berechnung1!N77</f>
        <v>1</v>
      </c>
      <c r="F28" s="187" t="str">
        <f>IF('Kennzahlenbogen_(KB)'!S56= "", "", 'Kennzahlenbogen_(KB)'!S56)</f>
        <v/>
      </c>
      <c r="G28" s="187" t="str">
        <f>IF('Kennzahlenbogen_(KB)'!T56= "", "", 'Kennzahlenbogen_(KB)'!T56)</f>
        <v/>
      </c>
      <c r="H28" s="195">
        <f>Berechnung1!O77</f>
        <v>0</v>
      </c>
      <c r="I28" s="192"/>
      <c r="J28" s="156"/>
      <c r="K28" s="156"/>
    </row>
    <row r="29" spans="1:11" s="190" customFormat="1" ht="27.95" customHeight="1" x14ac:dyDescent="0.25">
      <c r="A29" s="198">
        <v>11</v>
      </c>
      <c r="B29" s="195">
        <f>IF('Kennzahlenbogen_(KB)'!$Q59="", "", 'Kennzahlenbogen_(KB)'!$Q59)</f>
        <v>0</v>
      </c>
      <c r="C29" s="195">
        <f>IF('Kennzahlenbogen_(KB)'!$Q60= "", "", 'Kennzahlenbogen_(KB)'!$Q60)</f>
        <v>0</v>
      </c>
      <c r="D29" s="304" t="str">
        <f>IF('Kennzahlenbogen_(KB)'!$Q61 ="n.d.","n.d.",'Kennzahlenbogen_(KB)'!$Q61*100)</f>
        <v>n.d.</v>
      </c>
      <c r="E29" s="195">
        <f>Berechnung1!N80</f>
        <v>1</v>
      </c>
      <c r="F29" s="187" t="str">
        <f>IF('Kennzahlenbogen_(KB)'!S59= "", "", 'Kennzahlenbogen_(KB)'!S59)</f>
        <v/>
      </c>
      <c r="G29" s="187" t="str">
        <f>IF('Kennzahlenbogen_(KB)'!T59= "", "", 'Kennzahlenbogen_(KB)'!T59)</f>
        <v/>
      </c>
      <c r="H29" s="195">
        <f>Berechnung1!O80</f>
        <v>0</v>
      </c>
      <c r="I29" s="192"/>
      <c r="J29" s="156"/>
      <c r="K29" s="156"/>
    </row>
    <row r="30" spans="1:11" s="190" customFormat="1" ht="27.95" customHeight="1" x14ac:dyDescent="0.25">
      <c r="A30" s="198">
        <v>12</v>
      </c>
      <c r="B30" s="195" t="str">
        <f>IF('Kennzahlenbogen_(KB)'!$Q62= "", "", 'Kennzahlenbogen_(KB)'!$Q62)</f>
        <v/>
      </c>
      <c r="C30" s="195" t="str">
        <f>IF('Kennzahlenbogen_(KB)'!$Q63= "", "", 'Kennzahlenbogen_(KB)'!$Q63)</f>
        <v/>
      </c>
      <c r="D30" s="402" t="str">
        <f>IF('Kennzahlenbogen_(KB)'!$Q64 ="n.d.","n.d.",IF('Kennzahlenbogen_(KB)'!$Q64 ="","n.d.",'Kennzahlenbogen_(KB)'!$Q64*100))</f>
        <v>n.d.</v>
      </c>
      <c r="E30" s="195">
        <f>Berechnung1!N83</f>
        <v>1</v>
      </c>
      <c r="F30" s="187" t="str">
        <f>IF('Kennzahlenbogen_(KB)'!S62= "", "", 'Kennzahlenbogen_(KB)'!S62)</f>
        <v/>
      </c>
      <c r="G30" s="187" t="str">
        <f>IF('Kennzahlenbogen_(KB)'!T62= "", "", 'Kennzahlenbogen_(KB)'!T62)</f>
        <v/>
      </c>
      <c r="H30" s="195">
        <f>Berechnung1!O83</f>
        <v>0</v>
      </c>
      <c r="I30" s="192"/>
      <c r="J30" s="156"/>
      <c r="K30" s="156"/>
    </row>
    <row r="31" spans="1:11" s="190" customFormat="1" ht="27.95" customHeight="1" x14ac:dyDescent="0.25">
      <c r="A31" s="198">
        <v>13</v>
      </c>
      <c r="B31" s="195">
        <f>IF('Kennzahlenbogen_(KB)'!$Q65= "", "", 'Kennzahlenbogen_(KB)'!$Q65)</f>
        <v>0</v>
      </c>
      <c r="C31" s="195">
        <f>IF('Kennzahlenbogen_(KB)'!$Q66= "", "", 'Kennzahlenbogen_(KB)'!$Q66)</f>
        <v>0</v>
      </c>
      <c r="D31" s="304" t="str">
        <f>IF('Kennzahlenbogen_(KB)'!$Q67 ="n.d.","n.d.",'Kennzahlenbogen_(KB)'!$Q67*100)</f>
        <v>n.d.</v>
      </c>
      <c r="E31" s="195">
        <f>Berechnung1!N86</f>
        <v>1</v>
      </c>
      <c r="F31" s="187" t="str">
        <f>IF('Kennzahlenbogen_(KB)'!S65= "", "", 'Kennzahlenbogen_(KB)'!S65)</f>
        <v/>
      </c>
      <c r="G31" s="187" t="str">
        <f>IF('Kennzahlenbogen_(KB)'!T65= "", "", 'Kennzahlenbogen_(KB)'!T65)</f>
        <v/>
      </c>
      <c r="H31" s="195">
        <f>Berechnung1!O86</f>
        <v>0</v>
      </c>
      <c r="I31" s="192"/>
      <c r="J31" s="156"/>
      <c r="K31" s="156"/>
    </row>
    <row r="32" spans="1:11" ht="27.75" customHeight="1" x14ac:dyDescent="0.25">
      <c r="A32" s="198">
        <v>14</v>
      </c>
      <c r="B32" s="195" t="str">
        <f>IF('Kennzahlenbogen_(KB)'!$Q68= "", "", 'Kennzahlenbogen_(KB)'!$Q68)</f>
        <v/>
      </c>
      <c r="C32" s="195" t="str">
        <f>IF('Kennzahlenbogen_(KB)'!$Q69= "", "", 'Kennzahlenbogen_(KB)'!$Q69)</f>
        <v/>
      </c>
      <c r="D32" s="402" t="str">
        <f>IF('Kennzahlenbogen_(KB)'!$Q70="n.d.","n.d.",IF('Kennzahlenbogen_(KB)'!$Q70="","n.d.",'Kennzahlenbogen_(KB)'!$Q70*100))</f>
        <v>n.d.</v>
      </c>
      <c r="E32" s="195">
        <f>Berechnung1!N89</f>
        <v>1</v>
      </c>
      <c r="F32" s="187" t="str">
        <f>IF('Kennzahlenbogen_(KB)'!S68= "", "", 'Kennzahlenbogen_(KB)'!S68)</f>
        <v/>
      </c>
      <c r="G32" s="187" t="str">
        <f>IF('Kennzahlenbogen_(KB)'!T68= "", "", 'Kennzahlenbogen_(KB)'!T68)</f>
        <v/>
      </c>
      <c r="H32" s="195">
        <f>Berechnung1!O89</f>
        <v>0</v>
      </c>
      <c r="I32" s="192"/>
      <c r="J32" s="156"/>
      <c r="K32" s="156"/>
    </row>
    <row r="33" spans="1:11" ht="27" customHeight="1" x14ac:dyDescent="0.25">
      <c r="A33" s="198">
        <v>15</v>
      </c>
      <c r="B33" s="195" t="str">
        <f>IF('Kennzahlenbogen_(KB)'!$Q71= "", "", 'Kennzahlenbogen_(KB)'!$Q71)</f>
        <v/>
      </c>
      <c r="C33" s="195" t="str">
        <f>IF('Kennzahlenbogen_(KB)'!$Q72= "", "", 'Kennzahlenbogen_(KB)'!$Q72)</f>
        <v/>
      </c>
      <c r="D33" s="402" t="str">
        <f>IF('Kennzahlenbogen_(KB)'!$Q73 ="n.d.","n.d.",IF('Kennzahlenbogen_(KB)'!$Q73 ="","n.d.",'Kennzahlenbogen_(KB)'!$Q73*100))</f>
        <v>n.d.</v>
      </c>
      <c r="E33" s="195">
        <f>Berechnung1!N92</f>
        <v>1</v>
      </c>
      <c r="F33" s="187" t="str">
        <f>IF('Kennzahlenbogen_(KB)'!S71= "", "", 'Kennzahlenbogen_(KB)'!S71)</f>
        <v/>
      </c>
      <c r="G33" s="187" t="str">
        <f>IF('Kennzahlenbogen_(KB)'!T71= "", "", 'Kennzahlenbogen_(KB)'!T71)</f>
        <v/>
      </c>
      <c r="H33" s="195">
        <f>Berechnung1!O92</f>
        <v>0</v>
      </c>
      <c r="I33" s="192"/>
      <c r="J33" s="156"/>
      <c r="K33" s="156"/>
    </row>
    <row r="34" spans="1:11" ht="27" customHeight="1" x14ac:dyDescent="0.25">
      <c r="A34" s="198">
        <v>16</v>
      </c>
      <c r="B34" s="195" t="str">
        <f>IF('Kennzahlenbogen_(KB)'!$Q74= "", "", 'Kennzahlenbogen_(KB)'!$Q74)</f>
        <v/>
      </c>
      <c r="C34" s="195" t="str">
        <f>IF('Kennzahlenbogen_(KB)'!$Q75= "", "", 'Kennzahlenbogen_(KB)'!$Q75)</f>
        <v/>
      </c>
      <c r="D34" s="402" t="str">
        <f>IF('Kennzahlenbogen_(KB)'!$Q76 ="n.d.","n.d.",IF('Kennzahlenbogen_(KB)'!$Q76 ="","n.d.",'Kennzahlenbogen_(KB)'!$Q76*100))</f>
        <v>n.d.</v>
      </c>
      <c r="E34" s="195">
        <f>Berechnung1!N95</f>
        <v>1</v>
      </c>
      <c r="F34" s="187" t="str">
        <f>IF('Kennzahlenbogen_(KB)'!S74= "", "", 'Kennzahlenbogen_(KB)'!S74)</f>
        <v/>
      </c>
      <c r="G34" s="187" t="str">
        <f>IF('Kennzahlenbogen_(KB)'!T74= "", "", 'Kennzahlenbogen_(KB)'!T74)</f>
        <v/>
      </c>
      <c r="H34" s="195">
        <f>Berechnung1!O95</f>
        <v>0</v>
      </c>
      <c r="I34" s="192"/>
      <c r="J34" s="156"/>
      <c r="K34" s="156"/>
    </row>
    <row r="35" spans="1:11" ht="27.75" customHeight="1" x14ac:dyDescent="0.25">
      <c r="A35" s="198">
        <v>17</v>
      </c>
      <c r="B35" s="195" t="str">
        <f>IF('Kennzahlenbogen_(KB)'!$Q77= "", "", 'Kennzahlenbogen_(KB)'!$Q77)</f>
        <v/>
      </c>
      <c r="C35" s="195" t="str">
        <f>IF('Kennzahlenbogen_(KB)'!$Q78= "", "", 'Kennzahlenbogen_(KB)'!$Q78)</f>
        <v/>
      </c>
      <c r="D35" s="402" t="str">
        <f>IF('Kennzahlenbogen_(KB)'!$Q79="n.d.","n.d.",IF('Kennzahlenbogen_(KB)'!$Q79="","n.d.",'Kennzahlenbogen_(KB)'!$Q79*100))</f>
        <v>n.d.</v>
      </c>
      <c r="E35" s="195">
        <f>Berechnung1!N98</f>
        <v>1</v>
      </c>
      <c r="F35" s="187" t="str">
        <f>IF('Kennzahlenbogen_(KB)'!S77= "", "", 'Kennzahlenbogen_(KB)'!S77)</f>
        <v/>
      </c>
      <c r="G35" s="187" t="str">
        <f>IF('Kennzahlenbogen_(KB)'!T77= "", "", 'Kennzahlenbogen_(KB)'!T77)</f>
        <v/>
      </c>
      <c r="H35" s="195">
        <f>Berechnung1!O98</f>
        <v>0</v>
      </c>
      <c r="I35" s="192"/>
      <c r="J35" s="156"/>
      <c r="K35" s="156"/>
    </row>
    <row r="36" spans="1:11" ht="27" customHeight="1" x14ac:dyDescent="0.25">
      <c r="A36" s="198">
        <v>18</v>
      </c>
      <c r="B36" s="195" t="str">
        <f>IF('Kennzahlenbogen_(KB)'!$Q80= "", "", 'Kennzahlenbogen_(KB)'!$Q80)</f>
        <v/>
      </c>
      <c r="C36" s="195" t="str">
        <f>IF('Kennzahlenbogen_(KB)'!$Q81= "", "", 'Kennzahlenbogen_(KB)'!$Q81)</f>
        <v/>
      </c>
      <c r="D36" s="402" t="str">
        <f>IF('Kennzahlenbogen_(KB)'!$Q82="n.d.","n.d.",IF('Kennzahlenbogen_(KB)'!$Q82="","n.d.",'Kennzahlenbogen_(KB)'!$Q82*100))</f>
        <v>n.d.</v>
      </c>
      <c r="E36" s="195">
        <f>Berechnung1!N101</f>
        <v>1</v>
      </c>
      <c r="F36" s="187" t="str">
        <f>IF('Kennzahlenbogen_(KB)'!S80= "", "", 'Kennzahlenbogen_(KB)'!S80)</f>
        <v/>
      </c>
      <c r="G36" s="187" t="str">
        <f>IF('Kennzahlenbogen_(KB)'!T80= "", "", 'Kennzahlenbogen_(KB)'!T80)</f>
        <v/>
      </c>
      <c r="H36" s="195">
        <f>Berechnung1!O101</f>
        <v>0</v>
      </c>
      <c r="I36" s="192"/>
      <c r="J36" s="156"/>
      <c r="K36" s="156"/>
    </row>
    <row r="37" spans="1:11" ht="25.5" customHeight="1" x14ac:dyDescent="0.25">
      <c r="A37" s="198">
        <v>19</v>
      </c>
      <c r="B37" s="195" t="str">
        <f>IF('Kennzahlenbogen_(KB)'!$Q83= "", "", 'Kennzahlenbogen_(KB)'!$Q83)</f>
        <v/>
      </c>
      <c r="C37" s="195" t="str">
        <f>IF('Kennzahlenbogen_(KB)'!$Q84= "", "", 'Kennzahlenbogen_(KB)'!$Q84)</f>
        <v/>
      </c>
      <c r="D37" s="402" t="str">
        <f>IF('Kennzahlenbogen_(KB)'!$Q85="n.d.","n.d.",IF('Kennzahlenbogen_(KB)'!$Q85="","n.d.",'Kennzahlenbogen_(KB)'!$Q85*100))</f>
        <v>n.d.</v>
      </c>
      <c r="E37" s="195">
        <f>Berechnung1!N104</f>
        <v>1</v>
      </c>
      <c r="F37" s="187" t="str">
        <f>IF('Kennzahlenbogen_(KB)'!S83= "", "", 'Kennzahlenbogen_(KB)'!S83)</f>
        <v/>
      </c>
      <c r="G37" s="187" t="str">
        <f>IF('Kennzahlenbogen_(KB)'!T83= "", "", 'Kennzahlenbogen_(KB)'!T83)</f>
        <v/>
      </c>
      <c r="H37" s="195">
        <f>Berechnung1!O104</f>
        <v>0</v>
      </c>
      <c r="I37" s="192"/>
      <c r="J37" s="156"/>
      <c r="K37" s="156"/>
    </row>
    <row r="38" spans="1:11" ht="25.5" customHeight="1" x14ac:dyDescent="0.25">
      <c r="A38" s="198">
        <v>20</v>
      </c>
      <c r="B38" s="195" t="str">
        <f>IF('Kennzahlenbogen_(KB)'!$Q86= "", "", 'Kennzahlenbogen_(KB)'!$Q86)</f>
        <v/>
      </c>
      <c r="C38" s="195" t="str">
        <f>IF('Kennzahlenbogen_(KB)'!$Q87= "", "", 'Kennzahlenbogen_(KB)'!$Q87)</f>
        <v/>
      </c>
      <c r="D38" s="402" t="str">
        <f>IF('Kennzahlenbogen_(KB)'!$Q88="n.d.","n.d.",IF('Kennzahlenbogen_(KB)'!$Q88="","n.d.",'Kennzahlenbogen_(KB)'!$Q88*100))</f>
        <v>n.d.</v>
      </c>
      <c r="E38" s="195">
        <f>Berechnung1!N107</f>
        <v>1</v>
      </c>
      <c r="F38" s="187" t="str">
        <f>IF('Kennzahlenbogen_(KB)'!S86= "", "", 'Kennzahlenbogen_(KB)'!S86)</f>
        <v/>
      </c>
      <c r="G38" s="187" t="str">
        <f>IF('Kennzahlenbogen_(KB)'!T86= "", "", 'Kennzahlenbogen_(KB)'!T86)</f>
        <v/>
      </c>
      <c r="H38" s="195">
        <f>Berechnung1!O107</f>
        <v>0</v>
      </c>
      <c r="I38" s="192"/>
      <c r="J38" s="156"/>
      <c r="K38" s="156"/>
    </row>
    <row r="39" spans="1:11" ht="25.5" customHeight="1" x14ac:dyDescent="0.25">
      <c r="A39" s="198">
        <v>21</v>
      </c>
      <c r="B39" s="195" t="str">
        <f>IF('Kennzahlenbogen_(KB)'!$Q89= "", "", 'Kennzahlenbogen_(KB)'!$Q89)</f>
        <v/>
      </c>
      <c r="C39" s="195" t="str">
        <f>IF('Kennzahlenbogen_(KB)'!$Q90= "", "", 'Kennzahlenbogen_(KB)'!$Q90)</f>
        <v/>
      </c>
      <c r="D39" s="402" t="str">
        <f>IF('Kennzahlenbogen_(KB)'!$Q91="n.d.","n.d.",IF('Kennzahlenbogen_(KB)'!$Q91="","n.d.",'Kennzahlenbogen_(KB)'!$Q91*100))</f>
        <v>n.d.</v>
      </c>
      <c r="E39" s="195">
        <f>Berechnung1!N110</f>
        <v>1</v>
      </c>
      <c r="F39" s="187" t="str">
        <f>IF('Kennzahlenbogen_(KB)'!S89= "", "", 'Kennzahlenbogen_(KB)'!S89)</f>
        <v/>
      </c>
      <c r="G39" s="187" t="str">
        <f>IF('Kennzahlenbogen_(KB)'!T89= "", "", 'Kennzahlenbogen_(KB)'!T89)</f>
        <v/>
      </c>
      <c r="H39" s="195">
        <f>Berechnung1!O110</f>
        <v>0</v>
      </c>
      <c r="I39" s="192"/>
      <c r="J39" s="156"/>
      <c r="K39" s="156"/>
    </row>
    <row r="40" spans="1:11" ht="25.5" customHeight="1" x14ac:dyDescent="0.25">
      <c r="A40" s="198">
        <v>22</v>
      </c>
      <c r="B40" s="195">
        <f>IF('Kennzahlenbogen_(KB)'!$Q92= "", "", 'Kennzahlenbogen_(KB)'!$Q92)</f>
        <v>0</v>
      </c>
      <c r="C40" s="195">
        <f>IF('Kennzahlenbogen_(KB)'!$Q93= "", "", 'Kennzahlenbogen_(KB)'!$Q93)</f>
        <v>0</v>
      </c>
      <c r="D40" s="304" t="str">
        <f>IF('Kennzahlenbogen_(KB)'!$Q94="n.d.","n.d.",IF('Kennzahlenbogen_(KB)'!$Q94="","n.d.",'Kennzahlenbogen_(KB)'!$Q94*100))</f>
        <v>n.d.</v>
      </c>
      <c r="E40" s="195">
        <f>Berechnung1!N113</f>
        <v>1</v>
      </c>
      <c r="F40" s="187" t="str">
        <f>IF('Kennzahlenbogen_(KB)'!S92= "", "", 'Kennzahlenbogen_(KB)'!S92)</f>
        <v/>
      </c>
      <c r="G40" s="187" t="str">
        <f>IF('Kennzahlenbogen_(KB)'!T92= "", "", 'Kennzahlenbogen_(KB)'!T92)</f>
        <v/>
      </c>
      <c r="H40" s="195">
        <f>Berechnung1!O113</f>
        <v>0</v>
      </c>
      <c r="I40" s="192"/>
      <c r="J40" s="156"/>
      <c r="K40" s="156"/>
    </row>
    <row r="41" spans="1:11" ht="25.5" customHeight="1" x14ac:dyDescent="0.25">
      <c r="A41" s="198">
        <v>23</v>
      </c>
      <c r="B41" s="195">
        <f>IF('Kennzahlenbogen_(KB)'!$Q95= "", "", 'Kennzahlenbogen_(KB)'!$Q95)</f>
        <v>0</v>
      </c>
      <c r="C41" s="195">
        <f>IF('Kennzahlenbogen_(KB)'!$Q96= "", "", 'Kennzahlenbogen_(KB)'!$Q96)</f>
        <v>0</v>
      </c>
      <c r="D41" s="304" t="str">
        <f>IF('Kennzahlenbogen_(KB)'!$Q97="n.d.","n.d.",IF('Kennzahlenbogen_(KB)'!$Q97="","n.d.",'Kennzahlenbogen_(KB)'!$Q97*100))</f>
        <v>n.d.</v>
      </c>
      <c r="E41" s="195">
        <f>Berechnung1!N116</f>
        <v>1</v>
      </c>
      <c r="F41" s="187" t="str">
        <f>IF('Kennzahlenbogen_(KB)'!S95= "", "", 'Kennzahlenbogen_(KB)'!S95)</f>
        <v/>
      </c>
      <c r="G41" s="187" t="str">
        <f>IF('Kennzahlenbogen_(KB)'!T95= "", "", 'Kennzahlenbogen_(KB)'!T95)</f>
        <v/>
      </c>
      <c r="H41" s="195">
        <f>Berechnung1!O116</f>
        <v>0</v>
      </c>
      <c r="I41" s="192"/>
      <c r="J41" s="156"/>
      <c r="K41" s="156"/>
    </row>
  </sheetData>
  <customSheetViews>
    <customSheetView guid="{DAA0C1F4-4D8F-4BD8-91F9-40281B589772}" state="hidden">
      <selection activeCell="B35" sqref="B35"/>
      <pageMargins left="0.7" right="0.7" top="0.78740157499999996" bottom="0.78740157499999996" header="0.3" footer="0.3"/>
      <pageSetup paperSize="9" orientation="portrait" horizontalDpi="0" verticalDpi="0" r:id="rId1"/>
    </customSheetView>
    <customSheetView guid="{AD479C9E-06F7-4C03-8179-295428B49475}">
      <selection activeCell="F44" sqref="F44"/>
      <pageMargins left="0.7" right="0.7" top="0.78740157499999996" bottom="0.78740157499999996" header="0.3" footer="0.3"/>
      <pageSetup paperSize="9" orientation="portrait" horizontalDpi="0" verticalDpi="0" r:id="rId2"/>
    </customSheetView>
  </customSheetViews>
  <phoneticPr fontId="41" type="noConversion"/>
  <pageMargins left="0.7" right="0.7" top="0.78740157499999996" bottom="0.78740157499999996" header="0.3" footer="0.3"/>
  <pageSetup paperSize="9" orientation="portrait" horizontalDpi="0" verticalDpi="0"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2:O182"/>
  <sheetViews>
    <sheetView showGridLines="0" topLeftCell="A37" zoomScale="90" zoomScaleNormal="90" workbookViewId="0">
      <selection activeCell="A65" sqref="A65:XFD65"/>
    </sheetView>
  </sheetViews>
  <sheetFormatPr defaultColWidth="11.42578125" defaultRowHeight="15" x14ac:dyDescent="0.25"/>
  <cols>
    <col min="1" max="1" width="14" customWidth="1"/>
    <col min="2" max="2" width="14.85546875" customWidth="1"/>
    <col min="3" max="3" width="23" customWidth="1"/>
    <col min="4" max="4" width="20.42578125" customWidth="1"/>
    <col min="5" max="5" width="21.85546875" customWidth="1"/>
    <col min="6" max="6" width="15.42578125" customWidth="1"/>
    <col min="7" max="7" width="23.28515625" customWidth="1"/>
    <col min="8" max="8" width="22.42578125" customWidth="1"/>
    <col min="9" max="9" width="20.28515625" customWidth="1"/>
    <col min="10" max="10" width="14.5703125" customWidth="1"/>
    <col min="11" max="11" width="15.42578125" customWidth="1"/>
    <col min="12" max="12" width="16.28515625" customWidth="1"/>
  </cols>
  <sheetData>
    <row r="2" spans="1:15" x14ac:dyDescent="0.25">
      <c r="C2" s="29"/>
    </row>
    <row r="3" spans="1:15" s="3" customFormat="1" x14ac:dyDescent="0.25">
      <c r="C3" s="29"/>
      <c r="D3" s="94" t="s">
        <v>81</v>
      </c>
      <c r="M3" s="21"/>
      <c r="N3" s="21"/>
      <c r="O3" s="21"/>
    </row>
    <row r="4" spans="1:15" s="3" customFormat="1" ht="26.25" customHeight="1" x14ac:dyDescent="0.2">
      <c r="A4" s="96" t="s">
        <v>91</v>
      </c>
      <c r="C4" s="93" t="s">
        <v>89</v>
      </c>
      <c r="D4" s="93" t="s">
        <v>90</v>
      </c>
      <c r="E4" s="93" t="s">
        <v>11</v>
      </c>
      <c r="F4" s="93" t="s">
        <v>102</v>
      </c>
      <c r="G4" s="93" t="s">
        <v>100</v>
      </c>
      <c r="H4" s="93" t="s">
        <v>635</v>
      </c>
      <c r="I4" s="93" t="s">
        <v>14</v>
      </c>
      <c r="K4" s="495" t="s">
        <v>636</v>
      </c>
      <c r="M4" s="21"/>
      <c r="N4" s="21"/>
      <c r="O4" s="21"/>
    </row>
    <row r="5" spans="1:15" s="3" customFormat="1" ht="14.25" x14ac:dyDescent="0.2">
      <c r="A5" s="48"/>
      <c r="C5" s="92">
        <f>COUNTIF('Kennzahlenbogen_(KB)'!$R$8:$R$95,C4)</f>
        <v>0</v>
      </c>
      <c r="D5" s="92">
        <f>COUNTIF('Kennzahlenbogen_(KB)'!$R$8:$R$95,D4)</f>
        <v>0</v>
      </c>
      <c r="E5" s="92">
        <f>COUNTIF('Kennzahlenbogen_(KB)'!$R$8:$R$95,E4)</f>
        <v>0</v>
      </c>
      <c r="F5" s="92">
        <f>COUNTIF('Kennzahlenbogen_(KB)'!$R$8:$R$95,F4)</f>
        <v>30</v>
      </c>
      <c r="G5" s="92">
        <f>COUNTIF('Kennzahlenbogen_(KB)'!$R$8:$R$95,G4)</f>
        <v>0</v>
      </c>
      <c r="H5" s="92">
        <f>COUNTIF('Kennzahlenbogen_(KB)'!$R$8:$R$95,H4)</f>
        <v>0</v>
      </c>
      <c r="I5" s="92">
        <f>SUM(C5:H5)</f>
        <v>30</v>
      </c>
      <c r="K5" s="92">
        <f>D5+H5</f>
        <v>0</v>
      </c>
      <c r="M5" s="21"/>
      <c r="N5" s="21"/>
      <c r="O5" s="21"/>
    </row>
    <row r="6" spans="1:15" s="3" customFormat="1" ht="14.25" x14ac:dyDescent="0.2">
      <c r="A6" s="48"/>
      <c r="C6" s="92"/>
      <c r="D6" s="92">
        <f>C5+D5+H5</f>
        <v>0</v>
      </c>
      <c r="E6" s="92">
        <f>E5</f>
        <v>0</v>
      </c>
      <c r="F6" s="92"/>
      <c r="G6" s="92">
        <f>F5+G5</f>
        <v>30</v>
      </c>
      <c r="H6" s="92">
        <f>H5+D5+C5</f>
        <v>0</v>
      </c>
      <c r="I6" s="92">
        <f>SUM(C6:H6)</f>
        <v>30</v>
      </c>
      <c r="K6" s="92"/>
      <c r="M6" s="21"/>
      <c r="N6" s="21"/>
      <c r="O6" s="21"/>
    </row>
    <row r="7" spans="1:15" s="3" customFormat="1" ht="14.25" x14ac:dyDescent="0.2">
      <c r="A7" s="48"/>
      <c r="B7" s="3" t="s">
        <v>447</v>
      </c>
      <c r="C7" s="92"/>
      <c r="D7" s="92"/>
      <c r="E7" s="92">
        <f>D6+E6</f>
        <v>0</v>
      </c>
      <c r="F7" s="92"/>
      <c r="G7" s="92">
        <f>G6</f>
        <v>30</v>
      </c>
      <c r="H7" s="92"/>
      <c r="I7" s="92">
        <f>SUM(C7:H7)</f>
        <v>30</v>
      </c>
      <c r="K7" s="92"/>
      <c r="M7" s="21"/>
      <c r="N7" s="21"/>
      <c r="O7" s="21"/>
    </row>
    <row r="8" spans="1:15" s="3" customFormat="1" ht="14.25" x14ac:dyDescent="0.2">
      <c r="A8" s="48"/>
      <c r="B8" s="475">
        <v>30</v>
      </c>
      <c r="C8" s="392">
        <f>ROUND(C5/$B$8,4)</f>
        <v>0</v>
      </c>
      <c r="D8" s="392">
        <f>ROUND(D5/$B$8,4)</f>
        <v>0</v>
      </c>
      <c r="E8" s="392">
        <f t="shared" ref="E8" si="0">ROUND(E5/$B$8,4)</f>
        <v>0</v>
      </c>
      <c r="F8" s="392">
        <f>ROUND(F5/$B$8,4)</f>
        <v>1</v>
      </c>
      <c r="G8" s="392">
        <f>ROUND(G5/$B$8,4)</f>
        <v>0</v>
      </c>
      <c r="H8" s="392">
        <f>ROUND(H5/$B$8,4)</f>
        <v>0</v>
      </c>
      <c r="I8" s="392">
        <f>SUM(C8:H8)</f>
        <v>1</v>
      </c>
      <c r="K8" s="392">
        <f>D8+H8</f>
        <v>0</v>
      </c>
      <c r="M8" s="21"/>
      <c r="N8" s="21"/>
      <c r="O8" s="21"/>
    </row>
    <row r="9" spans="1:15" s="3" customFormat="1" ht="14.25" x14ac:dyDescent="0.2">
      <c r="A9" s="48"/>
      <c r="C9" s="392"/>
      <c r="D9" s="392">
        <f>ROUND((C5+D5+H5)/$B$8,4)</f>
        <v>0</v>
      </c>
      <c r="E9" s="392">
        <f>ROUND(E5/$B$8,4)</f>
        <v>0</v>
      </c>
      <c r="F9" s="392"/>
      <c r="G9" s="392">
        <f>ROUND((F5+G5)/$B$8,4)</f>
        <v>1</v>
      </c>
      <c r="H9" s="392">
        <f>ROUND((H5+D5+C5)/$B$8,4)</f>
        <v>0</v>
      </c>
      <c r="I9" s="392">
        <f>SUM(C9:G9)</f>
        <v>1</v>
      </c>
      <c r="K9" s="392"/>
      <c r="M9" s="21"/>
      <c r="N9" s="21"/>
      <c r="O9" s="21"/>
    </row>
    <row r="10" spans="1:15" s="3" customFormat="1" ht="14.25" x14ac:dyDescent="0.2">
      <c r="A10" s="48"/>
      <c r="C10" s="393"/>
      <c r="D10" s="393"/>
      <c r="E10" s="392">
        <f>ROUND((C5+D5+E5+H5)/$B$8,4)</f>
        <v>0</v>
      </c>
      <c r="F10" s="393"/>
      <c r="G10" s="392">
        <f>G9</f>
        <v>1</v>
      </c>
      <c r="H10" s="392"/>
      <c r="I10" s="392">
        <f>SUM(C10:H10)</f>
        <v>1</v>
      </c>
      <c r="K10" s="92"/>
      <c r="M10" s="21"/>
      <c r="N10" s="21"/>
      <c r="O10" s="21"/>
    </row>
    <row r="11" spans="1:15" s="3" customFormat="1" ht="14.25" x14ac:dyDescent="0.2">
      <c r="A11" s="48"/>
      <c r="E11" s="55"/>
      <c r="G11" s="55"/>
      <c r="H11" s="55"/>
      <c r="I11" s="55"/>
      <c r="M11" s="21"/>
      <c r="N11" s="21"/>
      <c r="O11" s="21"/>
    </row>
    <row r="12" spans="1:15" s="3" customFormat="1" ht="14.25" x14ac:dyDescent="0.2">
      <c r="A12" s="48"/>
      <c r="E12" s="55"/>
      <c r="G12" s="55"/>
      <c r="H12" s="55"/>
      <c r="I12" s="55"/>
      <c r="M12" s="21"/>
      <c r="N12" s="21"/>
      <c r="O12" s="21"/>
    </row>
    <row r="13" spans="1:15" s="3" customFormat="1" ht="14.25" x14ac:dyDescent="0.2">
      <c r="A13" s="48"/>
      <c r="M13" s="21"/>
      <c r="N13" s="21"/>
      <c r="O13" s="21"/>
    </row>
    <row r="14" spans="1:15" s="3" customFormat="1" ht="14.25" x14ac:dyDescent="0.2">
      <c r="A14" s="48"/>
      <c r="M14" s="21"/>
      <c r="N14" s="21"/>
      <c r="O14" s="21"/>
    </row>
    <row r="15" spans="1:15" s="3" customFormat="1" x14ac:dyDescent="0.25">
      <c r="A15" s="48"/>
      <c r="C15" s="29"/>
      <c r="M15" s="21"/>
      <c r="N15" s="21"/>
      <c r="O15" s="21"/>
    </row>
    <row r="16" spans="1:15" s="3" customFormat="1" ht="24" x14ac:dyDescent="0.2">
      <c r="A16" s="96" t="s">
        <v>92</v>
      </c>
      <c r="C16" s="93" t="s">
        <v>93</v>
      </c>
      <c r="D16" s="93" t="s">
        <v>94</v>
      </c>
      <c r="E16" s="93" t="s">
        <v>95</v>
      </c>
      <c r="F16" s="93" t="s">
        <v>96</v>
      </c>
      <c r="G16" s="93" t="s">
        <v>97</v>
      </c>
      <c r="H16" s="93" t="s">
        <v>637</v>
      </c>
      <c r="M16" s="21"/>
      <c r="N16" s="21"/>
      <c r="O16" s="21"/>
    </row>
    <row r="17" spans="1:15" s="3" customFormat="1" ht="14.25" x14ac:dyDescent="0.2">
      <c r="A17" s="48"/>
      <c r="C17" s="35"/>
      <c r="D17" s="35"/>
      <c r="E17" s="35"/>
      <c r="F17" s="35"/>
      <c r="G17" s="35"/>
      <c r="M17" s="21"/>
      <c r="N17" s="21"/>
      <c r="O17" s="21"/>
    </row>
    <row r="18" spans="1:15" s="3" customFormat="1" x14ac:dyDescent="0.2">
      <c r="A18" s="96"/>
      <c r="C18" s="35"/>
      <c r="D18" s="35"/>
      <c r="E18" s="35"/>
      <c r="F18" s="35"/>
      <c r="G18" s="35"/>
      <c r="M18" s="21"/>
      <c r="N18" s="21"/>
      <c r="O18" s="21"/>
    </row>
    <row r="19" spans="1:15" s="3" customFormat="1" x14ac:dyDescent="0.25">
      <c r="A19" s="48"/>
      <c r="C19" s="29"/>
      <c r="D19" s="35"/>
      <c r="E19" s="35"/>
      <c r="F19" s="35"/>
      <c r="G19" s="35"/>
      <c r="M19" s="21"/>
      <c r="N19" s="21"/>
      <c r="O19" s="21"/>
    </row>
    <row r="20" spans="1:15" s="3" customFormat="1" ht="14.25" x14ac:dyDescent="0.2">
      <c r="A20" s="48"/>
      <c r="D20" s="35"/>
      <c r="E20" s="35"/>
      <c r="F20" s="35"/>
      <c r="G20" s="35"/>
      <c r="M20" s="21"/>
      <c r="N20" s="21"/>
      <c r="O20" s="21"/>
    </row>
    <row r="21" spans="1:15" s="3" customFormat="1" ht="14.25" x14ac:dyDescent="0.2">
      <c r="A21" s="48"/>
      <c r="C21" s="35"/>
      <c r="D21" s="35"/>
      <c r="E21" s="35"/>
      <c r="F21" s="35"/>
      <c r="G21" s="35"/>
      <c r="M21" s="21"/>
      <c r="N21" s="21"/>
      <c r="O21" s="21"/>
    </row>
    <row r="23" spans="1:15" s="3" customFormat="1" ht="14.25" x14ac:dyDescent="0.2">
      <c r="C23" s="35"/>
      <c r="D23" s="35"/>
      <c r="E23" s="35"/>
      <c r="F23" s="35"/>
      <c r="G23" s="35"/>
      <c r="M23" s="21"/>
      <c r="N23" s="21"/>
      <c r="O23" s="21"/>
    </row>
    <row r="24" spans="1:15" s="3" customFormat="1" ht="14.25" x14ac:dyDescent="0.2">
      <c r="C24" s="35"/>
      <c r="D24" s="35"/>
      <c r="E24" s="35"/>
      <c r="F24" s="35"/>
      <c r="G24" s="35"/>
      <c r="M24" s="21"/>
      <c r="N24" s="21"/>
      <c r="O24" s="21"/>
    </row>
    <row r="25" spans="1:15" s="3" customFormat="1" ht="14.25" x14ac:dyDescent="0.2">
      <c r="C25" s="35"/>
      <c r="D25" s="35"/>
      <c r="E25" s="35"/>
      <c r="F25" s="35"/>
      <c r="G25" s="35"/>
      <c r="M25" s="21"/>
      <c r="N25" s="21"/>
      <c r="O25" s="21"/>
    </row>
    <row r="26" spans="1:15" s="3" customFormat="1" ht="14.25" x14ac:dyDescent="0.2">
      <c r="C26" s="35"/>
      <c r="D26" s="35"/>
      <c r="E26" s="35"/>
      <c r="F26" s="35"/>
      <c r="G26" s="35"/>
      <c r="M26" s="21"/>
      <c r="N26" s="21"/>
      <c r="O26" s="21"/>
    </row>
    <row r="27" spans="1:15" s="3" customFormat="1" x14ac:dyDescent="0.25">
      <c r="A27" s="29" t="s">
        <v>79</v>
      </c>
      <c r="C27" s="75" t="s">
        <v>0</v>
      </c>
      <c r="D27" s="75" t="s">
        <v>103</v>
      </c>
      <c r="E27" s="75" t="s">
        <v>112</v>
      </c>
      <c r="F27" s="75" t="s">
        <v>111</v>
      </c>
      <c r="G27" s="75" t="s">
        <v>109</v>
      </c>
      <c r="H27" s="75" t="s">
        <v>110</v>
      </c>
      <c r="I27" s="75"/>
      <c r="J27" s="75" t="s">
        <v>113</v>
      </c>
      <c r="K27" s="75" t="s">
        <v>114</v>
      </c>
      <c r="L27" s="75" t="s">
        <v>108</v>
      </c>
      <c r="M27" s="13" t="s">
        <v>65</v>
      </c>
      <c r="N27" s="13" t="s">
        <v>64</v>
      </c>
      <c r="O27" s="15" t="s">
        <v>63</v>
      </c>
    </row>
    <row r="28" spans="1:15" s="3" customFormat="1" ht="14.25" x14ac:dyDescent="0.2">
      <c r="A28" s="9"/>
      <c r="C28" s="109"/>
      <c r="D28" s="109"/>
      <c r="E28" s="109"/>
      <c r="F28" s="109"/>
      <c r="G28" s="109"/>
      <c r="H28" s="109"/>
      <c r="I28" s="109"/>
      <c r="J28" s="109"/>
      <c r="K28" s="109"/>
      <c r="L28" s="109"/>
      <c r="M28" s="13"/>
      <c r="N28" s="13"/>
      <c r="O28" s="13"/>
    </row>
    <row r="29" spans="1:15" s="3" customFormat="1" ht="14.25" x14ac:dyDescent="0.2">
      <c r="A29" s="9"/>
      <c r="B29" s="408" t="s">
        <v>8</v>
      </c>
      <c r="C29" s="120" t="s">
        <v>236</v>
      </c>
      <c r="D29" s="117" t="s">
        <v>104</v>
      </c>
      <c r="E29" s="119">
        <v>0</v>
      </c>
      <c r="F29" s="119">
        <v>100000000</v>
      </c>
      <c r="G29" s="119">
        <v>100</v>
      </c>
      <c r="H29" s="119">
        <v>100000000</v>
      </c>
      <c r="I29" s="119"/>
      <c r="J29" s="119">
        <v>-100000000</v>
      </c>
      <c r="K29" s="119">
        <v>1000000</v>
      </c>
      <c r="L29" s="409">
        <f>'Kennzahlenbogen_(KB)'!Q8</f>
        <v>0</v>
      </c>
      <c r="M29" s="117">
        <f>IF('Kennzahlenbogen_(KB)'!R8=Berechnung1!$G$4,1,IF('Kennzahlenbogen_(KB)'!R8=Berechnung1!$F$4,1,IF('Kennzahlenbogen_(KB)'!R8=Berechnung1!$E$4,2,IF('Kennzahlenbogen_(KB)'!R8=Berechnung1!$D$4,3,IF('Kennzahlenbogen_(KB)'!R8=Berechnung1!$C$4,4,"")))))</f>
        <v>1</v>
      </c>
      <c r="N29" s="117">
        <f>IF(M29&gt;1,M29+3,M29)</f>
        <v>1</v>
      </c>
      <c r="O29" s="117">
        <f>IF('Kennzahlenbogen_(KB)'!T8="",0,1)</f>
        <v>0</v>
      </c>
    </row>
    <row r="30" spans="1:15" s="3" customFormat="1" ht="14.25" x14ac:dyDescent="0.2">
      <c r="A30" s="9"/>
      <c r="C30" s="111"/>
      <c r="D30" s="54"/>
      <c r="E30" s="112"/>
      <c r="F30" s="112"/>
      <c r="G30" s="112"/>
      <c r="H30" s="112"/>
      <c r="I30" s="112"/>
      <c r="J30" s="112"/>
      <c r="K30" s="112"/>
      <c r="L30" s="113"/>
      <c r="M30" s="54"/>
      <c r="N30" s="54"/>
      <c r="O30" s="114"/>
    </row>
    <row r="31" spans="1:15" s="3" customFormat="1" ht="14.25" x14ac:dyDescent="0.2">
      <c r="A31" s="9"/>
      <c r="C31" s="111"/>
      <c r="D31" s="54"/>
      <c r="E31" s="112"/>
      <c r="F31" s="112"/>
      <c r="G31" s="112"/>
      <c r="H31" s="112"/>
      <c r="I31" s="112"/>
      <c r="J31" s="112"/>
      <c r="K31" s="112"/>
      <c r="L31" s="113"/>
      <c r="M31" s="54"/>
      <c r="N31" s="54"/>
      <c r="O31" s="114"/>
    </row>
    <row r="32" spans="1:15" s="3" customFormat="1" ht="14.25" x14ac:dyDescent="0.2">
      <c r="A32" s="9"/>
      <c r="B32" s="408" t="s">
        <v>8</v>
      </c>
      <c r="C32" s="117" t="s">
        <v>239</v>
      </c>
      <c r="D32" s="117" t="s">
        <v>104</v>
      </c>
      <c r="E32" s="119">
        <v>0</v>
      </c>
      <c r="F32" s="119">
        <v>100000000</v>
      </c>
      <c r="G32" s="119">
        <v>-100000000</v>
      </c>
      <c r="H32" s="119">
        <v>1000000</v>
      </c>
      <c r="I32" s="119"/>
      <c r="J32" s="119">
        <v>-100000000</v>
      </c>
      <c r="K32" s="119">
        <v>1000000</v>
      </c>
      <c r="L32" s="409">
        <f>'Kennzahlenbogen_(KB)'!Q11</f>
        <v>0</v>
      </c>
      <c r="M32" s="117">
        <f>IF('Kennzahlenbogen_(KB)'!R11=Berechnung1!$G$4,1,IF('Kennzahlenbogen_(KB)'!R11=Berechnung1!$F$4,1,IF('Kennzahlenbogen_(KB)'!R11=Berechnung1!$E$4,2,IF('Kennzahlenbogen_(KB)'!R11=Berechnung1!$D$4,3,IF('Kennzahlenbogen_(KB)'!R11=Berechnung1!$C$4,4,"")))))</f>
        <v>1</v>
      </c>
      <c r="N32" s="117">
        <f>IF(M32&gt;1,M32+3,M32)</f>
        <v>1</v>
      </c>
      <c r="O32" s="117">
        <f>IF('Kennzahlenbogen_(KB)'!T11="",0,1)</f>
        <v>0</v>
      </c>
    </row>
    <row r="33" spans="1:15" s="3" customFormat="1" ht="14.25" x14ac:dyDescent="0.2">
      <c r="A33" s="9"/>
      <c r="C33" s="54"/>
      <c r="D33" s="115"/>
      <c r="E33" s="115"/>
      <c r="F33" s="115"/>
      <c r="G33" s="115"/>
      <c r="H33" s="115"/>
      <c r="I33" s="115"/>
      <c r="J33" s="115"/>
      <c r="K33" s="115"/>
      <c r="L33" s="113"/>
      <c r="M33" s="54" t="str">
        <f>IF('Kennzahlenbogen_(KB)'!R12=Berechnung1!$G$4,1,IF('Kennzahlenbogen_(KB)'!R12=Berechnung1!$F$4,1,IF('Kennzahlenbogen_(KB)'!R12=Berechnung1!$E$4,2,IF('Kennzahlenbogen_(KB)'!R12=Berechnung1!$D$4,3,IF('Kennzahlenbogen_(KB)'!R12=Berechnung1!$C$4,4,"")))))</f>
        <v/>
      </c>
      <c r="N33" s="54"/>
      <c r="O33" s="54"/>
    </row>
    <row r="34" spans="1:15" s="3" customFormat="1" ht="14.25" x14ac:dyDescent="0.2">
      <c r="A34" s="9"/>
      <c r="C34" s="54"/>
      <c r="D34" s="54"/>
      <c r="E34" s="116"/>
      <c r="F34" s="116"/>
      <c r="G34" s="116"/>
      <c r="H34" s="116"/>
      <c r="I34" s="116"/>
      <c r="J34" s="116"/>
      <c r="K34" s="116"/>
      <c r="L34" s="113"/>
      <c r="M34" s="54" t="str">
        <f>IF('Kennzahlenbogen_(KB)'!R13=Berechnung1!$G$4,1,IF('Kennzahlenbogen_(KB)'!R13=Berechnung1!$F$4,1,IF('Kennzahlenbogen_(KB)'!R13=Berechnung1!$E$4,2,IF('Kennzahlenbogen_(KB)'!R13=Berechnung1!$D$4,3,IF('Kennzahlenbogen_(KB)'!R13=Berechnung1!$C$4,4,"")))))</f>
        <v/>
      </c>
      <c r="N34" s="54"/>
      <c r="O34" s="114"/>
    </row>
    <row r="35" spans="1:15" s="3" customFormat="1" ht="14.25" x14ac:dyDescent="0.2">
      <c r="A35" s="9"/>
      <c r="B35" s="408" t="s">
        <v>8</v>
      </c>
      <c r="C35" s="117" t="s">
        <v>240</v>
      </c>
      <c r="D35" s="117" t="s">
        <v>104</v>
      </c>
      <c r="E35" s="119">
        <v>0</v>
      </c>
      <c r="F35" s="119">
        <v>100000000</v>
      </c>
      <c r="G35" s="119">
        <v>-100000000</v>
      </c>
      <c r="H35" s="119">
        <v>1000000</v>
      </c>
      <c r="I35" s="119"/>
      <c r="J35" s="119">
        <v>-100000000</v>
      </c>
      <c r="K35" s="119">
        <v>1000000</v>
      </c>
      <c r="L35" s="409">
        <f>'Kennzahlenbogen_(KB)'!Q14</f>
        <v>0</v>
      </c>
      <c r="M35" s="117">
        <f>IF('Kennzahlenbogen_(KB)'!R14=Berechnung1!$G$4,1,IF('Kennzahlenbogen_(KB)'!R14=Berechnung1!$F$4,1,IF('Kennzahlenbogen_(KB)'!R14=Berechnung1!$E$4,2,IF('Kennzahlenbogen_(KB)'!R14=Berechnung1!$D$4,3,IF('Kennzahlenbogen_(KB)'!R14=Berechnung1!$C$4,4,"")))))</f>
        <v>1</v>
      </c>
      <c r="N35" s="117">
        <f>IF(M35&gt;1,M35+3,M35)</f>
        <v>1</v>
      </c>
      <c r="O35" s="367">
        <f>IF('Kennzahlenbogen_(KB)'!T14="",0,1)</f>
        <v>0</v>
      </c>
    </row>
    <row r="36" spans="1:15" s="3" customFormat="1" ht="14.25" x14ac:dyDescent="0.2">
      <c r="A36" s="9"/>
      <c r="C36" s="54"/>
      <c r="D36" s="54"/>
      <c r="E36" s="116"/>
      <c r="F36" s="116"/>
      <c r="G36" s="116"/>
      <c r="H36" s="116"/>
      <c r="I36" s="116"/>
      <c r="J36" s="116"/>
      <c r="K36" s="116"/>
      <c r="L36" s="113"/>
      <c r="M36" s="54" t="str">
        <f>IF('Kennzahlenbogen_(KB)'!R15=Berechnung1!$G$4,1,IF('Kennzahlenbogen_(KB)'!R15=Berechnung1!$F$4,1,IF('Kennzahlenbogen_(KB)'!R15=Berechnung1!$E$4,2,IF('Kennzahlenbogen_(KB)'!R15=Berechnung1!$D$4,3,IF('Kennzahlenbogen_(KB)'!R15=Berechnung1!$C$4,4,"")))))</f>
        <v/>
      </c>
      <c r="N36" s="54"/>
      <c r="O36" s="114"/>
    </row>
    <row r="37" spans="1:15" s="3" customFormat="1" ht="14.25" x14ac:dyDescent="0.2">
      <c r="A37" s="9"/>
      <c r="C37" s="54"/>
      <c r="D37" s="54"/>
      <c r="E37" s="116"/>
      <c r="F37" s="116"/>
      <c r="G37" s="116"/>
      <c r="H37" s="116"/>
      <c r="I37" s="116"/>
      <c r="J37" s="116"/>
      <c r="K37" s="116"/>
      <c r="L37" s="113"/>
      <c r="M37" s="54" t="str">
        <f>IF('Kennzahlenbogen_(KB)'!R16=Berechnung1!$G$4,1,IF('Kennzahlenbogen_(KB)'!R16=Berechnung1!$F$4,1,IF('Kennzahlenbogen_(KB)'!R16=Berechnung1!$E$4,2,IF('Kennzahlenbogen_(KB)'!R16=Berechnung1!$D$4,3,IF('Kennzahlenbogen_(KB)'!R16=Berechnung1!$C$4,4,"")))))</f>
        <v/>
      </c>
      <c r="N37" s="54"/>
      <c r="O37" s="114"/>
    </row>
    <row r="38" spans="1:15" s="3" customFormat="1" ht="14.25" x14ac:dyDescent="0.2">
      <c r="A38" s="9"/>
      <c r="B38" s="408" t="s">
        <v>8</v>
      </c>
      <c r="C38" s="117" t="s">
        <v>241</v>
      </c>
      <c r="D38" s="117" t="s">
        <v>104</v>
      </c>
      <c r="E38" s="119">
        <v>0</v>
      </c>
      <c r="F38" s="119">
        <v>100000000</v>
      </c>
      <c r="G38" s="119">
        <v>-100000000</v>
      </c>
      <c r="H38" s="119">
        <v>1000000</v>
      </c>
      <c r="I38" s="119"/>
      <c r="J38" s="119">
        <v>-100000000</v>
      </c>
      <c r="K38" s="119">
        <v>1000000</v>
      </c>
      <c r="L38" s="409">
        <f>'Kennzahlenbogen_(KB)'!Q17</f>
        <v>0</v>
      </c>
      <c r="M38" s="117">
        <f>IF('Kennzahlenbogen_(KB)'!R17=Berechnung1!$G$4,1,IF('Kennzahlenbogen_(KB)'!R17=Berechnung1!$F$4,1,IF('Kennzahlenbogen_(KB)'!R17=Berechnung1!$E$4,2,IF('Kennzahlenbogen_(KB)'!R17=Berechnung1!$D$4,3,IF('Kennzahlenbogen_(KB)'!R17=Berechnung1!$C$4,4,"")))))</f>
        <v>1</v>
      </c>
      <c r="N38" s="117">
        <f>IF(M38&gt;1,M38+3,M38)</f>
        <v>1</v>
      </c>
      <c r="O38" s="117">
        <f>IF('Kennzahlenbogen_(KB)'!T17="",0,1)</f>
        <v>0</v>
      </c>
    </row>
    <row r="39" spans="1:15" s="3" customFormat="1" ht="14.25" x14ac:dyDescent="0.2">
      <c r="A39" s="9"/>
      <c r="C39" s="54"/>
      <c r="D39" s="54"/>
      <c r="E39" s="115"/>
      <c r="F39" s="115"/>
      <c r="G39" s="115"/>
      <c r="H39" s="115"/>
      <c r="I39" s="115"/>
      <c r="J39" s="115"/>
      <c r="K39" s="115"/>
      <c r="L39" s="113"/>
      <c r="M39" s="54"/>
      <c r="N39" s="54"/>
      <c r="O39" s="54"/>
    </row>
    <row r="40" spans="1:15" s="3" customFormat="1" ht="14.25" x14ac:dyDescent="0.2">
      <c r="A40" s="9"/>
      <c r="C40" s="54"/>
      <c r="D40" s="54"/>
      <c r="E40" s="115"/>
      <c r="F40" s="115"/>
      <c r="G40" s="115"/>
      <c r="H40" s="115"/>
      <c r="I40" s="115"/>
      <c r="J40" s="115"/>
      <c r="K40" s="115"/>
      <c r="L40" s="113"/>
      <c r="M40" s="54"/>
      <c r="N40" s="54"/>
      <c r="O40" s="54"/>
    </row>
    <row r="41" spans="1:15" s="3" customFormat="1" ht="14.25" x14ac:dyDescent="0.2">
      <c r="A41" s="9"/>
      <c r="B41" s="476" t="s">
        <v>567</v>
      </c>
      <c r="C41" s="411" t="s">
        <v>715</v>
      </c>
      <c r="D41" s="411" t="s">
        <v>104</v>
      </c>
      <c r="E41" s="413">
        <v>0</v>
      </c>
      <c r="F41" s="413">
        <v>100000000</v>
      </c>
      <c r="G41" s="413">
        <v>-100000000</v>
      </c>
      <c r="H41" s="413">
        <v>1000000</v>
      </c>
      <c r="I41" s="413"/>
      <c r="J41" s="413">
        <v>-100000000</v>
      </c>
      <c r="K41" s="413">
        <v>1000000</v>
      </c>
      <c r="L41" s="525">
        <f>'Kennzahlenbogen_(KB)'!Q20</f>
        <v>0</v>
      </c>
      <c r="M41" s="411">
        <f>IF('Kennzahlenbogen_(KB)'!R20=Berechnung1!$H$4,5,IF('Kennzahlenbogen_(KB)'!R20=Berechnung1!$G$4,1,IF('Kennzahlenbogen_(KB)'!R20=Berechnung1!$F$4,1,IF('Kennzahlenbogen_(KB)'!R20=Berechnung1!$E$4,2,IF('Kennzahlenbogen_(KB)'!R20=Berechnung1!$D$4,3,IF('Kennzahlenbogen_(KB)'!R20=Berechnung1!$C$4,4,""))))))</f>
        <v>1</v>
      </c>
      <c r="N41" s="411">
        <f t="shared" ref="N41" si="1">IF(M41&gt;1,M41+3,M41)</f>
        <v>1</v>
      </c>
      <c r="O41" s="411">
        <f>IF('Kennzahlenbogen_(KB)'!T20="",0,1)</f>
        <v>0</v>
      </c>
    </row>
    <row r="42" spans="1:15" s="3" customFormat="1" ht="14.25" x14ac:dyDescent="0.2">
      <c r="A42" s="9"/>
      <c r="C42" s="54"/>
      <c r="D42" s="54"/>
      <c r="E42" s="116"/>
      <c r="F42" s="116"/>
      <c r="G42" s="116"/>
      <c r="H42" s="116"/>
      <c r="I42" s="116"/>
      <c r="J42" s="116"/>
      <c r="K42" s="116"/>
      <c r="L42" s="54"/>
      <c r="M42" s="54"/>
      <c r="N42" s="54"/>
      <c r="O42" s="114"/>
    </row>
    <row r="43" spans="1:15" s="3" customFormat="1" ht="14.25" x14ac:dyDescent="0.2">
      <c r="A43" s="9"/>
      <c r="C43" s="54"/>
      <c r="D43" s="54"/>
      <c r="E43" s="116"/>
      <c r="F43" s="116"/>
      <c r="G43" s="116"/>
      <c r="H43" s="116"/>
      <c r="I43" s="116"/>
      <c r="J43" s="116"/>
      <c r="K43" s="116"/>
      <c r="L43" s="54"/>
      <c r="M43" s="54"/>
      <c r="N43" s="54"/>
      <c r="O43" s="114"/>
    </row>
    <row r="44" spans="1:15" s="3" customFormat="1" ht="14.25" x14ac:dyDescent="0.2">
      <c r="A44" s="9"/>
      <c r="B44" s="476" t="s">
        <v>567</v>
      </c>
      <c r="C44" s="411" t="s">
        <v>238</v>
      </c>
      <c r="D44" s="411" t="s">
        <v>104</v>
      </c>
      <c r="E44" s="412">
        <v>0</v>
      </c>
      <c r="F44" s="412">
        <v>1</v>
      </c>
      <c r="G44" s="412">
        <v>0.95</v>
      </c>
      <c r="H44" s="412">
        <v>10000</v>
      </c>
      <c r="I44" s="413"/>
      <c r="J44" s="412">
        <v>-10000</v>
      </c>
      <c r="K44" s="412">
        <v>10000</v>
      </c>
      <c r="L44" s="412" t="str">
        <f>'Kennzahlenbogen_(KB)'!Q25</f>
        <v>n.d.</v>
      </c>
      <c r="M44" s="411">
        <f>IF('Kennzahlenbogen_(KB)'!R23=Berechnung1!$H$4,5,IF('Kennzahlenbogen_(KB)'!R23=Berechnung1!$G$4,1,IF('Kennzahlenbogen_(KB)'!R23=Berechnung1!$F$4,1,IF('Kennzahlenbogen_(KB)'!R23=Berechnung1!$E$4,2,IF(AND('Kennzahlenbogen_(KB)'!R23=Berechnung1!$D$4,'Kennzahlenbogen_(KB)'!Q23=0,'Kennzahlenbogen_(KB)'!Q24=0),5,IF('Kennzahlenbogen_(KB)'!R23=Berechnung1!$D$4,3,IF('Kennzahlenbogen_(KB)'!R23=Berechnung1!$C$4,4,"")))))))</f>
        <v>1</v>
      </c>
      <c r="N44" s="411">
        <f>IF(M44&gt;1,M44+3,M44)</f>
        <v>1</v>
      </c>
      <c r="O44" s="411">
        <f>IF('Kennzahlenbogen_(KB)'!T23="",0,1)</f>
        <v>0</v>
      </c>
    </row>
    <row r="45" spans="1:15" s="3" customFormat="1" ht="14.25" x14ac:dyDescent="0.2">
      <c r="A45" s="9"/>
      <c r="C45" s="111"/>
      <c r="D45" s="54"/>
      <c r="E45" s="112"/>
      <c r="F45" s="112"/>
      <c r="G45" s="112"/>
      <c r="H45" s="112"/>
      <c r="I45" s="112"/>
      <c r="J45" s="112"/>
      <c r="K45" s="112"/>
      <c r="L45" s="113"/>
      <c r="M45" s="54"/>
      <c r="N45" s="54"/>
      <c r="O45" s="54"/>
    </row>
    <row r="46" spans="1:15" s="3" customFormat="1" ht="14.25" x14ac:dyDescent="0.2">
      <c r="A46" s="9"/>
      <c r="C46" s="111"/>
      <c r="D46" s="54"/>
      <c r="E46" s="112"/>
      <c r="F46" s="112"/>
      <c r="G46" s="112"/>
      <c r="H46" s="112"/>
      <c r="I46" s="112"/>
      <c r="J46" s="112"/>
      <c r="K46" s="112"/>
      <c r="L46" s="113"/>
      <c r="M46" s="54"/>
      <c r="N46" s="54"/>
      <c r="O46" s="54"/>
    </row>
    <row r="47" spans="1:15" s="3" customFormat="1" ht="14.25" x14ac:dyDescent="0.2">
      <c r="A47" s="9"/>
      <c r="B47" s="476" t="s">
        <v>567</v>
      </c>
      <c r="C47" s="414" t="s">
        <v>237</v>
      </c>
      <c r="D47" s="411" t="s">
        <v>104</v>
      </c>
      <c r="E47" s="412">
        <v>0</v>
      </c>
      <c r="F47" s="412">
        <v>1</v>
      </c>
      <c r="G47" s="412">
        <v>0.95</v>
      </c>
      <c r="H47" s="412">
        <v>10000</v>
      </c>
      <c r="I47" s="412"/>
      <c r="J47" s="412">
        <v>-10000</v>
      </c>
      <c r="K47" s="412">
        <v>10000</v>
      </c>
      <c r="L47" s="412" t="str">
        <f>'Kennzahlenbogen_(KB)'!Q28</f>
        <v>n.d.</v>
      </c>
      <c r="M47" s="411">
        <f>IF('Kennzahlenbogen_(KB)'!R26=Berechnung1!$H$4,5,IF('Kennzahlenbogen_(KB)'!R26=Berechnung1!$G$4,1,IF('Kennzahlenbogen_(KB)'!R26=Berechnung1!$F$4,1,IF('Kennzahlenbogen_(KB)'!R26=Berechnung1!$E$4,2,IF(AND('Kennzahlenbogen_(KB)'!R26=Berechnung1!$D$4,'Kennzahlenbogen_(KB)'!Q26=0,'Kennzahlenbogen_(KB)'!Q27=0),5,IF('Kennzahlenbogen_(KB)'!R26=Berechnung1!$D$4,3,IF('Kennzahlenbogen_(KB)'!R26=Berechnung1!$C$4,4,"")))))))</f>
        <v>1</v>
      </c>
      <c r="N47" s="411">
        <f>IF(M47&gt;1,M47+3,M47)</f>
        <v>1</v>
      </c>
      <c r="O47" s="411">
        <f>IF('Kennzahlenbogen_(KB)'!T26="",0,1)</f>
        <v>0</v>
      </c>
    </row>
    <row r="48" spans="1:15" s="3" customFormat="1" ht="14.25" x14ac:dyDescent="0.2">
      <c r="A48" s="9"/>
      <c r="C48" s="111"/>
      <c r="D48" s="54"/>
      <c r="E48" s="112"/>
      <c r="F48" s="112"/>
      <c r="G48" s="112"/>
      <c r="H48" s="112"/>
      <c r="I48" s="112"/>
      <c r="J48" s="112"/>
      <c r="K48" s="112"/>
      <c r="L48" s="121"/>
      <c r="M48" s="54"/>
      <c r="N48" s="54"/>
      <c r="O48" s="54"/>
    </row>
    <row r="49" spans="1:15" s="3" customFormat="1" ht="14.25" x14ac:dyDescent="0.2">
      <c r="A49" s="9"/>
      <c r="B49" s="4"/>
      <c r="C49" s="111"/>
      <c r="D49" s="54"/>
      <c r="E49" s="112"/>
      <c r="F49" s="112"/>
      <c r="G49" s="112"/>
      <c r="H49" s="112"/>
      <c r="I49" s="112"/>
      <c r="J49" s="112"/>
      <c r="K49" s="112"/>
      <c r="L49" s="121"/>
      <c r="M49" s="54"/>
      <c r="N49" s="54"/>
      <c r="O49" s="54"/>
    </row>
    <row r="50" spans="1:15" s="3" customFormat="1" ht="14.25" x14ac:dyDescent="0.2">
      <c r="A50" s="9"/>
      <c r="B50" s="476" t="s">
        <v>567</v>
      </c>
      <c r="C50" s="414" t="s">
        <v>242</v>
      </c>
      <c r="D50" s="411" t="s">
        <v>104</v>
      </c>
      <c r="E50" s="412">
        <v>0</v>
      </c>
      <c r="F50" s="412">
        <v>1</v>
      </c>
      <c r="G50" s="412">
        <v>1</v>
      </c>
      <c r="H50" s="412">
        <v>10000</v>
      </c>
      <c r="I50" s="412"/>
      <c r="J50" s="412">
        <v>-10000</v>
      </c>
      <c r="K50" s="412">
        <v>10000</v>
      </c>
      <c r="L50" s="412" t="str">
        <f>'Kennzahlenbogen_(KB)'!Q31</f>
        <v>n.d.</v>
      </c>
      <c r="M50" s="411">
        <f>IF('Kennzahlenbogen_(KB)'!R29=Berechnung1!$H$4,5,IF('Kennzahlenbogen_(KB)'!R29=Berechnung1!$G$4,1,IF('Kennzahlenbogen_(KB)'!R29=Berechnung1!$F$4,1,IF('Kennzahlenbogen_(KB)'!R29=Berechnung1!$E$4,2,IF(AND('Kennzahlenbogen_(KB)'!R29=Berechnung1!$D$4,'Kennzahlenbogen_(KB)'!Q29=0,'Kennzahlenbogen_(KB)'!Q30=0),5,IF('Kennzahlenbogen_(KB)'!R29=Berechnung1!$D$4,3,IF('Kennzahlenbogen_(KB)'!R29=Berechnung1!$C$4,4,"")))))))</f>
        <v>1</v>
      </c>
      <c r="N50" s="411">
        <f>IF(M50&gt;1,M50+3,M50)</f>
        <v>1</v>
      </c>
      <c r="O50" s="411">
        <f>IF('Kennzahlenbogen_(KB)'!T29="",0,1)</f>
        <v>0</v>
      </c>
    </row>
    <row r="51" spans="1:15" s="3" customFormat="1" ht="14.25" x14ac:dyDescent="0.2">
      <c r="A51" s="9"/>
      <c r="C51" s="111"/>
      <c r="D51" s="54"/>
      <c r="E51" s="112"/>
      <c r="F51" s="112"/>
      <c r="G51" s="112"/>
      <c r="H51" s="112"/>
      <c r="I51" s="112"/>
      <c r="J51" s="112"/>
      <c r="K51" s="112"/>
      <c r="L51" s="121"/>
      <c r="M51" s="54"/>
      <c r="N51" s="54"/>
      <c r="O51" s="54"/>
    </row>
    <row r="52" spans="1:15" s="3" customFormat="1" ht="14.25" x14ac:dyDescent="0.2">
      <c r="A52" s="9"/>
      <c r="C52" s="111"/>
      <c r="D52" s="54"/>
      <c r="E52" s="112"/>
      <c r="F52" s="112"/>
      <c r="G52" s="112"/>
      <c r="H52" s="112"/>
      <c r="I52" s="112"/>
      <c r="J52" s="112"/>
      <c r="K52" s="112"/>
      <c r="L52" s="121"/>
      <c r="M52" s="54"/>
      <c r="N52" s="54"/>
      <c r="O52" s="54"/>
    </row>
    <row r="53" spans="1:15" s="3" customFormat="1" ht="14.25" x14ac:dyDescent="0.2">
      <c r="A53" s="9"/>
      <c r="B53" s="476" t="s">
        <v>567</v>
      </c>
      <c r="C53" s="414" t="s">
        <v>243</v>
      </c>
      <c r="D53" s="411" t="s">
        <v>104</v>
      </c>
      <c r="E53" s="412">
        <v>0</v>
      </c>
      <c r="F53" s="412">
        <v>1</v>
      </c>
      <c r="G53" s="412">
        <v>1</v>
      </c>
      <c r="H53" s="412">
        <v>10000</v>
      </c>
      <c r="I53" s="412"/>
      <c r="J53" s="412">
        <v>-10000</v>
      </c>
      <c r="K53" s="412">
        <v>10000</v>
      </c>
      <c r="L53" s="412" t="str">
        <f>'Kennzahlenbogen_(KB)'!Q34</f>
        <v>n.d.</v>
      </c>
      <c r="M53" s="411">
        <f>IF('Kennzahlenbogen_(KB)'!R32=Berechnung1!$H$4,5,IF('Kennzahlenbogen_(KB)'!R32=Berechnung1!$G$4,1,IF('Kennzahlenbogen_(KB)'!R32=Berechnung1!$F$4,1,IF('Kennzahlenbogen_(KB)'!R32=Berechnung1!$E$4,2,IF(AND('Kennzahlenbogen_(KB)'!R32=Berechnung1!$D$4,'Kennzahlenbogen_(KB)'!Q32=0,'Kennzahlenbogen_(KB)'!Q33=0),5,IF('Kennzahlenbogen_(KB)'!R32=Berechnung1!$D$4,3,IF('Kennzahlenbogen_(KB)'!R32=Berechnung1!$C$4,4,"")))))))</f>
        <v>1</v>
      </c>
      <c r="N53" s="411">
        <f>IF(M53&gt;1,M53+3,M53)</f>
        <v>1</v>
      </c>
      <c r="O53" s="411">
        <f>IF('Kennzahlenbogen_(KB)'!T32="",0,1)</f>
        <v>0</v>
      </c>
    </row>
    <row r="54" spans="1:15" s="3" customFormat="1" ht="14.25" x14ac:dyDescent="0.2">
      <c r="A54" s="9"/>
      <c r="B54" s="4"/>
      <c r="C54" s="111"/>
      <c r="D54" s="54"/>
      <c r="E54" s="112"/>
      <c r="F54" s="112"/>
      <c r="G54" s="112"/>
      <c r="H54" s="112"/>
      <c r="I54" s="112"/>
      <c r="J54" s="112"/>
      <c r="K54" s="112"/>
      <c r="L54" s="121"/>
      <c r="M54" s="54"/>
      <c r="N54" s="54"/>
      <c r="O54" s="54"/>
    </row>
    <row r="55" spans="1:15" s="3" customFormat="1" ht="14.25" x14ac:dyDescent="0.2">
      <c r="A55" s="9"/>
      <c r="C55" s="111"/>
      <c r="D55" s="54"/>
      <c r="E55" s="112"/>
      <c r="F55" s="112"/>
      <c r="G55" s="112"/>
      <c r="H55" s="112"/>
      <c r="I55" s="112"/>
      <c r="J55" s="112"/>
      <c r="K55" s="112"/>
      <c r="L55" s="121"/>
      <c r="M55" s="54"/>
      <c r="N55" s="54"/>
      <c r="O55" s="54"/>
    </row>
    <row r="56" spans="1:15" s="3" customFormat="1" ht="14.25" x14ac:dyDescent="0.2">
      <c r="A56" s="9"/>
      <c r="B56" s="476" t="s">
        <v>567</v>
      </c>
      <c r="C56" s="414" t="s">
        <v>564</v>
      </c>
      <c r="D56" s="411" t="s">
        <v>104</v>
      </c>
      <c r="E56" s="412">
        <v>0</v>
      </c>
      <c r="F56" s="412">
        <v>1</v>
      </c>
      <c r="G56" s="412">
        <v>1</v>
      </c>
      <c r="H56" s="412">
        <v>10000</v>
      </c>
      <c r="I56" s="412"/>
      <c r="J56" s="412">
        <v>-10000</v>
      </c>
      <c r="K56" s="412">
        <v>10000</v>
      </c>
      <c r="L56" s="412" t="str">
        <f>'Kennzahlenbogen_(KB)'!Q37</f>
        <v>n.d.</v>
      </c>
      <c r="M56" s="411">
        <f>IF('Kennzahlenbogen_(KB)'!R35=Berechnung1!$H$4,5,IF('Kennzahlenbogen_(KB)'!R35=Berechnung1!$G$4,1,IF('Kennzahlenbogen_(KB)'!R35=Berechnung1!$F$4,1,IF('Kennzahlenbogen_(KB)'!R35=Berechnung1!$E$4,2,IF(AND('Kennzahlenbogen_(KB)'!R35=Berechnung1!$D$4,'Kennzahlenbogen_(KB)'!Q35=0,'Kennzahlenbogen_(KB)'!Q36=0),5,IF('Kennzahlenbogen_(KB)'!R35=Berechnung1!$D$4,3,IF('Kennzahlenbogen_(KB)'!R35=Berechnung1!$C$4,4,"")))))))</f>
        <v>1</v>
      </c>
      <c r="N56" s="411">
        <f>IF(M56&gt;1,M56+3,M56)</f>
        <v>1</v>
      </c>
      <c r="O56" s="411">
        <f>IF('Kennzahlenbogen_(KB)'!T35="",0,1)</f>
        <v>0</v>
      </c>
    </row>
    <row r="57" spans="1:15" s="3" customFormat="1" ht="14.25" x14ac:dyDescent="0.2">
      <c r="A57" s="9"/>
      <c r="C57" s="111"/>
      <c r="D57" s="54"/>
      <c r="E57" s="112"/>
      <c r="F57" s="112"/>
      <c r="G57" s="112"/>
      <c r="H57" s="112"/>
      <c r="I57" s="112"/>
      <c r="J57" s="112"/>
      <c r="K57" s="112"/>
      <c r="L57" s="121"/>
      <c r="M57" s="54"/>
      <c r="N57" s="54"/>
      <c r="O57" s="54"/>
    </row>
    <row r="58" spans="1:15" s="3" customFormat="1" ht="14.25" x14ac:dyDescent="0.2">
      <c r="A58" s="9"/>
      <c r="C58" s="111"/>
      <c r="D58" s="54"/>
      <c r="E58" s="112"/>
      <c r="F58" s="112"/>
      <c r="G58" s="112"/>
      <c r="H58" s="112"/>
      <c r="I58" s="112"/>
      <c r="J58" s="112"/>
      <c r="K58" s="112"/>
      <c r="L58" s="121"/>
      <c r="M58" s="54"/>
      <c r="N58" s="54"/>
      <c r="O58" s="54"/>
    </row>
    <row r="59" spans="1:15" s="3" customFormat="1" ht="14.25" x14ac:dyDescent="0.2">
      <c r="A59" s="9"/>
      <c r="C59" s="117">
        <v>4</v>
      </c>
      <c r="D59" s="117" t="s">
        <v>104</v>
      </c>
      <c r="E59" s="118">
        <v>0</v>
      </c>
      <c r="F59" s="118">
        <v>1</v>
      </c>
      <c r="G59" s="118">
        <v>-10000</v>
      </c>
      <c r="H59" s="118">
        <v>10000</v>
      </c>
      <c r="I59" s="118"/>
      <c r="J59" s="118">
        <v>1E-4</v>
      </c>
      <c r="K59" s="118">
        <v>10000</v>
      </c>
      <c r="L59" s="118" t="str">
        <f>'Kennzahlenbogen_(KB)'!Q40</f>
        <v>n.d.</v>
      </c>
      <c r="M59" s="117">
        <f>IF('Kennzahlenbogen_(KB)'!R38=Berechnung1!$G$4,1,IF('Kennzahlenbogen_(KB)'!R38=Berechnung1!$F$4,1,IF('Kennzahlenbogen_(KB)'!R38=Berechnung1!$E$4,2,IF('Kennzahlenbogen_(KB)'!R38=Berechnung1!$D$4,3,IF('Kennzahlenbogen_(KB)'!R38=Berechnung1!$C$4,4,"")))))</f>
        <v>1</v>
      </c>
      <c r="N59" s="117">
        <f>IF(M59&gt;1,M59+3,M59)</f>
        <v>1</v>
      </c>
      <c r="O59" s="117">
        <f>IF('Kennzahlenbogen_(KB)'!T38="",0,1)</f>
        <v>0</v>
      </c>
    </row>
    <row r="60" spans="1:15" s="3" customFormat="1" ht="14.25" x14ac:dyDescent="0.2">
      <c r="A60" s="9"/>
      <c r="C60" s="111"/>
      <c r="D60" s="54"/>
      <c r="E60" s="112"/>
      <c r="F60" s="112"/>
      <c r="G60" s="112"/>
      <c r="H60" s="112"/>
      <c r="I60" s="112"/>
      <c r="J60" s="112"/>
      <c r="K60" s="112"/>
      <c r="L60" s="121"/>
      <c r="M60" s="54"/>
      <c r="N60" s="54"/>
      <c r="O60" s="54"/>
    </row>
    <row r="61" spans="1:15" s="3" customFormat="1" ht="14.25" x14ac:dyDescent="0.2">
      <c r="A61" s="9"/>
      <c r="C61" s="111"/>
      <c r="D61" s="54"/>
      <c r="E61" s="112"/>
      <c r="F61" s="112"/>
      <c r="G61" s="112"/>
      <c r="H61" s="112"/>
      <c r="I61" s="112"/>
      <c r="J61" s="112"/>
      <c r="K61" s="112"/>
      <c r="L61" s="121"/>
      <c r="M61" s="54"/>
      <c r="N61" s="54"/>
      <c r="O61" s="54"/>
    </row>
    <row r="62" spans="1:15" s="3" customFormat="1" ht="14.25" x14ac:dyDescent="0.2">
      <c r="A62" s="9"/>
      <c r="B62" s="476" t="s">
        <v>567</v>
      </c>
      <c r="C62" s="415">
        <v>5</v>
      </c>
      <c r="D62" s="415" t="s">
        <v>104</v>
      </c>
      <c r="E62" s="416">
        <v>0</v>
      </c>
      <c r="F62" s="416">
        <v>1</v>
      </c>
      <c r="G62" s="416">
        <v>0.7</v>
      </c>
      <c r="H62" s="416">
        <v>10000</v>
      </c>
      <c r="I62" s="416"/>
      <c r="J62" s="416">
        <v>-100000</v>
      </c>
      <c r="K62" s="412">
        <v>10000</v>
      </c>
      <c r="L62" s="412" t="str">
        <f>'Kennzahlenbogen_(KB)'!Q43</f>
        <v>n.d.</v>
      </c>
      <c r="M62" s="411">
        <f>IF('Kennzahlenbogen_(KB)'!R41=Berechnung1!$H$4,5,IF('Kennzahlenbogen_(KB)'!R41=Berechnung1!$G$4,1,IF('Kennzahlenbogen_(KB)'!R41=Berechnung1!$F$4,1,IF('Kennzahlenbogen_(KB)'!R41=Berechnung1!$E$4,2,IF(AND('Kennzahlenbogen_(KB)'!R41=Berechnung1!$D$4,'Kennzahlenbogen_(KB)'!Q41=0,'Kennzahlenbogen_(KB)'!Q42=0),5,IF('Kennzahlenbogen_(KB)'!R41=Berechnung1!$D$4,3,IF('Kennzahlenbogen_(KB)'!R41=Berechnung1!$C$4,4,"")))))))</f>
        <v>1</v>
      </c>
      <c r="N62" s="411">
        <f>IF(M62&gt;1,M62+3,M62)</f>
        <v>1</v>
      </c>
      <c r="O62" s="411">
        <f>IF('Kennzahlenbogen_(KB)'!T41="",0,1)</f>
        <v>0</v>
      </c>
    </row>
    <row r="63" spans="1:15" s="3" customFormat="1" ht="14.25" x14ac:dyDescent="0.2">
      <c r="A63" s="9"/>
      <c r="C63" s="356"/>
      <c r="D63" s="355"/>
      <c r="E63" s="354"/>
      <c r="F63" s="354"/>
      <c r="G63" s="354"/>
      <c r="H63" s="354"/>
      <c r="I63" s="354"/>
      <c r="J63" s="354"/>
      <c r="K63" s="354"/>
      <c r="L63" s="354"/>
      <c r="M63" s="355"/>
      <c r="N63" s="355"/>
      <c r="O63" s="355"/>
    </row>
    <row r="64" spans="1:15" s="3" customFormat="1" ht="14.25" x14ac:dyDescent="0.2">
      <c r="A64" s="9"/>
      <c r="C64" s="356"/>
      <c r="D64" s="355"/>
      <c r="E64" s="354"/>
      <c r="F64" s="354"/>
      <c r="G64" s="354"/>
      <c r="H64" s="354"/>
      <c r="I64" s="354"/>
      <c r="J64" s="354"/>
      <c r="K64" s="354"/>
      <c r="L64" s="354"/>
      <c r="M64" s="355"/>
      <c r="N64" s="355"/>
      <c r="O64" s="355"/>
    </row>
    <row r="65" spans="1:15" s="3" customFormat="1" ht="14.25" x14ac:dyDescent="0.2">
      <c r="A65" s="9"/>
      <c r="C65" s="117">
        <v>6</v>
      </c>
      <c r="D65" s="117" t="s">
        <v>104</v>
      </c>
      <c r="E65" s="118">
        <v>0</v>
      </c>
      <c r="F65" s="118">
        <v>1</v>
      </c>
      <c r="G65" s="118">
        <v>0.65</v>
      </c>
      <c r="H65" s="118">
        <v>10000</v>
      </c>
      <c r="I65" s="118"/>
      <c r="J65" s="118">
        <v>-100000</v>
      </c>
      <c r="K65" s="118">
        <v>10000</v>
      </c>
      <c r="L65" s="118" t="str">
        <f>'Kennzahlenbogen_(KB)'!Q46</f>
        <v>n.d.</v>
      </c>
      <c r="M65" s="117">
        <f>IF('Kennzahlenbogen_(KB)'!R44=Berechnung1!$G$4,1,IF('Kennzahlenbogen_(KB)'!R44=Berechnung1!$F$4,1,IF('Kennzahlenbogen_(KB)'!R44=Berechnung1!$E$4,2,IF('Kennzahlenbogen_(KB)'!R44=Berechnung1!$D$4,3,IF('Kennzahlenbogen_(KB)'!R44=Berechnung1!$C$4,4,"")))))</f>
        <v>1</v>
      </c>
      <c r="N65" s="117">
        <f>IF(M65&gt;1,M65+3,M65)</f>
        <v>1</v>
      </c>
      <c r="O65" s="117">
        <f>IF('Kennzahlenbogen_(KB)'!T44="",0,1)</f>
        <v>0</v>
      </c>
    </row>
    <row r="66" spans="1:15" s="3" customFormat="1" ht="14.25" x14ac:dyDescent="0.2">
      <c r="A66" s="9"/>
      <c r="C66" s="111"/>
      <c r="D66" s="54"/>
      <c r="E66" s="112"/>
      <c r="F66" s="112"/>
      <c r="G66" s="112"/>
      <c r="H66" s="112"/>
      <c r="I66" s="112"/>
      <c r="J66" s="112"/>
      <c r="K66" s="112"/>
      <c r="L66" s="121"/>
      <c r="M66" s="54"/>
      <c r="N66" s="54"/>
      <c r="O66" s="54"/>
    </row>
    <row r="67" spans="1:15" s="3" customFormat="1" ht="14.25" x14ac:dyDescent="0.2">
      <c r="A67" s="9"/>
      <c r="C67" s="111"/>
      <c r="D67" s="54"/>
      <c r="E67" s="112"/>
      <c r="F67" s="112"/>
      <c r="G67" s="112"/>
      <c r="H67" s="112"/>
      <c r="I67" s="112"/>
      <c r="J67" s="112"/>
      <c r="K67" s="112"/>
      <c r="L67" s="121"/>
      <c r="M67" s="54"/>
      <c r="N67" s="54"/>
      <c r="O67" s="54"/>
    </row>
    <row r="68" spans="1:15" s="3" customFormat="1" ht="14.25" x14ac:dyDescent="0.2">
      <c r="A68" s="9"/>
      <c r="C68" s="117">
        <v>7</v>
      </c>
      <c r="D68" s="117" t="s">
        <v>104</v>
      </c>
      <c r="E68" s="118">
        <v>0</v>
      </c>
      <c r="F68" s="118">
        <v>1</v>
      </c>
      <c r="G68" s="118">
        <v>-10000</v>
      </c>
      <c r="H68" s="118">
        <v>10000</v>
      </c>
      <c r="I68" s="118"/>
      <c r="J68" s="118">
        <v>0.5</v>
      </c>
      <c r="K68" s="118">
        <v>10000</v>
      </c>
      <c r="L68" s="118" t="str">
        <f>'Kennzahlenbogen_(KB)'!Q49</f>
        <v>n.d.</v>
      </c>
      <c r="M68" s="117">
        <f>IF('Kennzahlenbogen_(KB)'!R47=Berechnung1!$G$4,1,IF('Kennzahlenbogen_(KB)'!R47=Berechnung1!$F$4,1,IF('Kennzahlenbogen_(KB)'!R47=Berechnung1!$E$4,2,IF('Kennzahlenbogen_(KB)'!R47=Berechnung1!$D$4,3,IF('Kennzahlenbogen_(KB)'!R47=Berechnung1!$C$4,4,"")))))</f>
        <v>1</v>
      </c>
      <c r="N68" s="117">
        <f>IF(M68&gt;1,M68+3,M68)</f>
        <v>1</v>
      </c>
      <c r="O68" s="117">
        <f>IF('Kennzahlenbogen_(KB)'!T47="",0,1)</f>
        <v>0</v>
      </c>
    </row>
    <row r="69" spans="1:15" s="3" customFormat="1" ht="14.25" x14ac:dyDescent="0.2">
      <c r="A69" s="9"/>
      <c r="C69" s="111"/>
      <c r="D69" s="54"/>
      <c r="E69" s="112"/>
      <c r="F69" s="112"/>
      <c r="G69" s="112"/>
      <c r="H69" s="112"/>
      <c r="I69" s="112"/>
      <c r="J69" s="112"/>
      <c r="K69" s="112"/>
      <c r="L69" s="121"/>
      <c r="M69" s="54"/>
      <c r="N69" s="54"/>
      <c r="O69" s="54"/>
    </row>
    <row r="70" spans="1:15" s="3" customFormat="1" ht="14.25" x14ac:dyDescent="0.2">
      <c r="A70" s="9"/>
      <c r="C70" s="111"/>
      <c r="D70" s="54"/>
      <c r="E70" s="112"/>
      <c r="F70" s="112"/>
      <c r="G70" s="112"/>
      <c r="H70" s="112"/>
      <c r="I70" s="112"/>
      <c r="J70" s="112"/>
      <c r="K70" s="112"/>
      <c r="L70" s="121"/>
      <c r="M70" s="54"/>
      <c r="N70" s="54"/>
      <c r="O70" s="54"/>
    </row>
    <row r="71" spans="1:15" s="3" customFormat="1" ht="14.25" x14ac:dyDescent="0.2">
      <c r="A71" s="9"/>
      <c r="C71" s="117">
        <v>8</v>
      </c>
      <c r="D71" s="117" t="s">
        <v>104</v>
      </c>
      <c r="E71" s="118">
        <v>0</v>
      </c>
      <c r="F71" s="118">
        <v>10</v>
      </c>
      <c r="G71" s="118">
        <v>0.05</v>
      </c>
      <c r="H71" s="118">
        <v>10000</v>
      </c>
      <c r="I71" s="118"/>
      <c r="J71" s="118">
        <v>-10000</v>
      </c>
      <c r="K71" s="118">
        <v>10000</v>
      </c>
      <c r="L71" s="118" t="str">
        <f>'Kennzahlenbogen_(KB)'!Q52</f>
        <v>n.d.</v>
      </c>
      <c r="M71" s="117">
        <f>IF('Kennzahlenbogen_(KB)'!R50=Berechnung1!$G$4,1,IF('Kennzahlenbogen_(KB)'!R50=Berechnung1!$F$4,1,IF('Kennzahlenbogen_(KB)'!R50=Berechnung1!$E$4,2,IF('Kennzahlenbogen_(KB)'!R50=Berechnung1!$D$4,3,IF('Kennzahlenbogen_(KB)'!R50=Berechnung1!$C$4,4,"")))))</f>
        <v>1</v>
      </c>
      <c r="N71" s="117">
        <f>IF(M71&gt;1,M71+3,M71)</f>
        <v>1</v>
      </c>
      <c r="O71" s="117">
        <f>IF('Kennzahlenbogen_(KB)'!T50="",0,1)</f>
        <v>0</v>
      </c>
    </row>
    <row r="72" spans="1:15" s="3" customFormat="1" ht="14.25" x14ac:dyDescent="0.2">
      <c r="A72" s="9"/>
      <c r="C72" s="111"/>
      <c r="D72" s="54"/>
      <c r="E72" s="112"/>
      <c r="F72" s="112"/>
      <c r="G72" s="112"/>
      <c r="H72" s="112"/>
      <c r="I72" s="112"/>
      <c r="J72" s="112"/>
      <c r="K72" s="112"/>
      <c r="L72" s="121"/>
      <c r="M72" s="54"/>
      <c r="N72" s="54"/>
      <c r="O72" s="54"/>
    </row>
    <row r="73" spans="1:15" s="3" customFormat="1" ht="14.25" x14ac:dyDescent="0.2">
      <c r="A73" s="9"/>
      <c r="C73" s="111"/>
      <c r="D73" s="54"/>
      <c r="E73" s="112"/>
      <c r="F73" s="112"/>
      <c r="G73" s="112"/>
      <c r="H73" s="112"/>
      <c r="I73" s="112"/>
      <c r="J73" s="112"/>
      <c r="K73" s="112"/>
      <c r="L73" s="121"/>
      <c r="M73" s="54"/>
      <c r="N73" s="54"/>
      <c r="O73" s="54"/>
    </row>
    <row r="74" spans="1:15" s="3" customFormat="1" ht="14.25" x14ac:dyDescent="0.2">
      <c r="A74" s="9"/>
      <c r="B74" s="408" t="s">
        <v>8</v>
      </c>
      <c r="C74" s="117">
        <v>9</v>
      </c>
      <c r="D74" s="117" t="s">
        <v>104</v>
      </c>
      <c r="E74" s="119">
        <v>0</v>
      </c>
      <c r="F74" s="119">
        <v>100000000</v>
      </c>
      <c r="G74" s="119">
        <v>50</v>
      </c>
      <c r="H74" s="119">
        <v>100000000</v>
      </c>
      <c r="I74" s="118"/>
      <c r="J74" s="119">
        <v>-100000000</v>
      </c>
      <c r="K74" s="119">
        <v>1000000</v>
      </c>
      <c r="L74" s="410">
        <f>'Kennzahlenbogen_(KB)'!Q53</f>
        <v>0</v>
      </c>
      <c r="M74" s="117">
        <f>IF('Kennzahlenbogen_(KB)'!R53=Berechnung1!$G$4,1,IF('Kennzahlenbogen_(KB)'!R53=Berechnung1!$F$4,1,IF('Kennzahlenbogen_(KB)'!R53=Berechnung1!$E$4,2,IF('Kennzahlenbogen_(KB)'!R53=Berechnung1!$D$4,3,IF('Kennzahlenbogen_(KB)'!R53=Berechnung1!$C$4,4,"")))))</f>
        <v>1</v>
      </c>
      <c r="N74" s="117">
        <f>IF(M74&gt;1,M74+3,M74)</f>
        <v>1</v>
      </c>
      <c r="O74" s="117">
        <f>IF('Kennzahlenbogen_(KB)'!T53="",0,1)</f>
        <v>0</v>
      </c>
    </row>
    <row r="75" spans="1:15" s="3" customFormat="1" ht="14.25" x14ac:dyDescent="0.2">
      <c r="A75" s="9"/>
      <c r="C75" s="111"/>
      <c r="D75" s="54"/>
      <c r="E75" s="112"/>
      <c r="F75" s="112"/>
      <c r="G75" s="112"/>
      <c r="H75" s="112"/>
      <c r="I75" s="112"/>
      <c r="J75" s="112"/>
      <c r="K75" s="112"/>
      <c r="L75" s="121"/>
      <c r="M75" s="54"/>
      <c r="N75" s="54"/>
      <c r="O75" s="54"/>
    </row>
    <row r="76" spans="1:15" s="3" customFormat="1" ht="14.25" x14ac:dyDescent="0.2">
      <c r="A76" s="9"/>
      <c r="C76" s="111"/>
      <c r="D76" s="54"/>
      <c r="E76" s="112"/>
      <c r="F76" s="112"/>
      <c r="G76" s="112"/>
      <c r="H76" s="112"/>
      <c r="I76" s="112"/>
      <c r="J76" s="112"/>
      <c r="K76" s="112"/>
      <c r="L76" s="121"/>
      <c r="M76" s="54"/>
      <c r="N76" s="54"/>
      <c r="O76" s="54"/>
    </row>
    <row r="77" spans="1:15" s="3" customFormat="1" ht="14.25" x14ac:dyDescent="0.2">
      <c r="A77" s="9"/>
      <c r="B77" s="476" t="s">
        <v>567</v>
      </c>
      <c r="C77" s="411">
        <v>10</v>
      </c>
      <c r="D77" s="411" t="s">
        <v>104</v>
      </c>
      <c r="E77" s="412">
        <v>0</v>
      </c>
      <c r="F77" s="412">
        <v>1</v>
      </c>
      <c r="G77" s="412">
        <v>-10000</v>
      </c>
      <c r="H77" s="417">
        <v>0.15</v>
      </c>
      <c r="I77" s="412"/>
      <c r="J77" s="412">
        <v>-10000</v>
      </c>
      <c r="K77" s="412">
        <v>10000</v>
      </c>
      <c r="L77" s="412" t="str">
        <f>'Kennzahlenbogen_(KB)'!Q58</f>
        <v>n.d.</v>
      </c>
      <c r="M77" s="411">
        <f>IF('Kennzahlenbogen_(KB)'!R56=Berechnung1!$H$4,5,IF('Kennzahlenbogen_(KB)'!R56=Berechnung1!$G$4,1,IF('Kennzahlenbogen_(KB)'!R56=Berechnung1!$F$4,1,IF('Kennzahlenbogen_(KB)'!R56=Berechnung1!$E$4,2,IF(AND('Kennzahlenbogen_(KB)'!R56=Berechnung1!$D$4,'Kennzahlenbogen_(KB)'!Q56=0,'Kennzahlenbogen_(KB)'!Q57=0),5,IF('Kennzahlenbogen_(KB)'!R56=Berechnung1!$D$4,3,IF('Kennzahlenbogen_(KB)'!R56=Berechnung1!$C$4,4,"")))))))</f>
        <v>1</v>
      </c>
      <c r="N77" s="411">
        <f>IF(M77&gt;1,M77+3,M77)</f>
        <v>1</v>
      </c>
      <c r="O77" s="411">
        <f>IF('Kennzahlenbogen_(KB)'!T56="",0,1)</f>
        <v>0</v>
      </c>
    </row>
    <row r="78" spans="1:15" s="3" customFormat="1" ht="14.25" x14ac:dyDescent="0.2">
      <c r="A78" s="9"/>
      <c r="C78" s="111"/>
      <c r="D78" s="54"/>
      <c r="E78" s="112"/>
      <c r="F78" s="112"/>
      <c r="G78" s="112"/>
      <c r="H78" s="112"/>
      <c r="I78" s="112"/>
      <c r="J78" s="112"/>
      <c r="K78" s="122"/>
      <c r="L78" s="121"/>
      <c r="M78" s="54"/>
      <c r="N78" s="54"/>
      <c r="O78" s="54"/>
    </row>
    <row r="79" spans="1:15" s="3" customFormat="1" ht="14.25" x14ac:dyDescent="0.2">
      <c r="A79" s="9"/>
      <c r="C79" s="111"/>
      <c r="D79" s="54"/>
      <c r="E79" s="112"/>
      <c r="F79" s="112"/>
      <c r="G79" s="112"/>
      <c r="H79" s="112"/>
      <c r="I79" s="112"/>
      <c r="J79" s="112"/>
      <c r="K79" s="122"/>
      <c r="L79" s="121"/>
      <c r="M79" s="54"/>
      <c r="N79" s="54"/>
      <c r="O79" s="54"/>
    </row>
    <row r="80" spans="1:15" s="3" customFormat="1" ht="14.25" x14ac:dyDescent="0.2">
      <c r="A80" s="9"/>
      <c r="C80" s="117">
        <v>11</v>
      </c>
      <c r="D80" s="117" t="s">
        <v>104</v>
      </c>
      <c r="E80" s="118">
        <v>0</v>
      </c>
      <c r="F80" s="118">
        <v>1</v>
      </c>
      <c r="G80" s="118">
        <v>-10000</v>
      </c>
      <c r="H80" s="118">
        <v>10000</v>
      </c>
      <c r="I80" s="118"/>
      <c r="J80" s="118">
        <v>0.1</v>
      </c>
      <c r="K80" s="118">
        <v>0.9</v>
      </c>
      <c r="L80" s="118" t="str">
        <f>'Kennzahlenbogen_(KB)'!Q61</f>
        <v>n.d.</v>
      </c>
      <c r="M80" s="117">
        <f>IF('Kennzahlenbogen_(KB)'!R59=Berechnung1!$G$4,1,IF('Kennzahlenbogen_(KB)'!R59=Berechnung1!$F$4,1,IF('Kennzahlenbogen_(KB)'!R59=Berechnung1!$E$4,2,IF('Kennzahlenbogen_(KB)'!R59=Berechnung1!$D$4,3,IF('Kennzahlenbogen_(KB)'!R59=Berechnung1!$C$4,4,"")))))</f>
        <v>1</v>
      </c>
      <c r="N80" s="117">
        <f>IF(M80&gt;1,M80+3,M80)</f>
        <v>1</v>
      </c>
      <c r="O80" s="117">
        <f>IF('Kennzahlenbogen_(KB)'!T59="",0,1)</f>
        <v>0</v>
      </c>
    </row>
    <row r="81" spans="1:15" s="3" customFormat="1" ht="14.25" x14ac:dyDescent="0.2">
      <c r="A81" s="9"/>
      <c r="C81" s="111"/>
      <c r="D81" s="54"/>
      <c r="E81" s="112"/>
      <c r="F81" s="112"/>
      <c r="G81" s="112"/>
      <c r="H81" s="112"/>
      <c r="I81" s="112"/>
      <c r="J81" s="112"/>
      <c r="K81" s="112"/>
      <c r="L81" s="121"/>
      <c r="M81" s="54" t="str">
        <f>IF('Kennzahlenbogen_(KB)'!R60=Berechnung1!$G$4,1,IF('Kennzahlenbogen_(KB)'!R60=Berechnung1!$F$4,1,IF('Kennzahlenbogen_(KB)'!R60=Berechnung1!$E$4,2,IF('Kennzahlenbogen_(KB)'!R60=Berechnung1!$D$4,3,IF('Kennzahlenbogen_(KB)'!R60=Berechnung1!$C$4,4,"")))))</f>
        <v/>
      </c>
      <c r="N81" s="54"/>
      <c r="O81" s="54"/>
    </row>
    <row r="82" spans="1:15" s="3" customFormat="1" ht="14.25" x14ac:dyDescent="0.2">
      <c r="A82" s="9"/>
      <c r="C82" s="111"/>
      <c r="D82" s="54"/>
      <c r="E82" s="112"/>
      <c r="F82" s="112"/>
      <c r="G82" s="112"/>
      <c r="H82" s="112"/>
      <c r="I82" s="112"/>
      <c r="J82" s="112"/>
      <c r="K82" s="112"/>
      <c r="L82" s="121"/>
      <c r="M82" s="54" t="str">
        <f>IF('Kennzahlenbogen_(KB)'!R61=Berechnung1!$G$4,1,IF('Kennzahlenbogen_(KB)'!R61=Berechnung1!$F$4,1,IF('Kennzahlenbogen_(KB)'!R61=Berechnung1!$E$4,2,IF('Kennzahlenbogen_(KB)'!R61=Berechnung1!$D$4,3,IF('Kennzahlenbogen_(KB)'!R61=Berechnung1!$C$4,4,"")))))</f>
        <v/>
      </c>
      <c r="N82" s="54"/>
      <c r="O82" s="54"/>
    </row>
    <row r="83" spans="1:15" s="3" customFormat="1" ht="14.25" x14ac:dyDescent="0.2">
      <c r="A83" s="9"/>
      <c r="B83" s="476" t="s">
        <v>567</v>
      </c>
      <c r="C83" s="411">
        <v>12</v>
      </c>
      <c r="D83" s="411" t="s">
        <v>104</v>
      </c>
      <c r="E83" s="412">
        <v>0</v>
      </c>
      <c r="F83" s="412">
        <v>1</v>
      </c>
      <c r="G83" s="412">
        <v>0.9</v>
      </c>
      <c r="H83" s="412">
        <v>10000</v>
      </c>
      <c r="I83" s="412"/>
      <c r="J83" s="412">
        <v>-10000</v>
      </c>
      <c r="K83" s="412">
        <v>10000</v>
      </c>
      <c r="L83" s="412" t="str">
        <f>'Kennzahlenbogen_(KB)'!Q64</f>
        <v>n.d.</v>
      </c>
      <c r="M83" s="411">
        <f>IF('Kennzahlenbogen_(KB)'!R62=Berechnung1!$H$4,5,IF('Kennzahlenbogen_(KB)'!R62=Berechnung1!$G$4,1,IF('Kennzahlenbogen_(KB)'!R62=Berechnung1!$F$4,1,IF('Kennzahlenbogen_(KB)'!R62=Berechnung1!$E$4,2,IF(AND('Kennzahlenbogen_(KB)'!R62=Berechnung1!$D$4,'Kennzahlenbogen_(KB)'!Q62=0,'Kennzahlenbogen_(KB)'!Q63=0),5,IF('Kennzahlenbogen_(KB)'!R62=Berechnung1!$D$4,3,IF('Kennzahlenbogen_(KB)'!R62=Berechnung1!$C$4,4,"")))))))</f>
        <v>1</v>
      </c>
      <c r="N83" s="411">
        <f>IF(M83&gt;1,M83+3,M83)</f>
        <v>1</v>
      </c>
      <c r="O83" s="411">
        <f>IF('Kennzahlenbogen_(KB)'!T62="",0,1)</f>
        <v>0</v>
      </c>
    </row>
    <row r="84" spans="1:15" s="3" customFormat="1" ht="14.25" x14ac:dyDescent="0.2">
      <c r="A84" s="9"/>
      <c r="C84" s="111"/>
      <c r="D84" s="54"/>
      <c r="E84" s="112"/>
      <c r="F84" s="112"/>
      <c r="G84" s="112"/>
      <c r="H84" s="112"/>
      <c r="I84" s="112"/>
      <c r="J84" s="112"/>
      <c r="K84" s="112"/>
      <c r="L84" s="121"/>
      <c r="M84" s="54"/>
      <c r="N84" s="54"/>
      <c r="O84" s="54"/>
    </row>
    <row r="85" spans="1:15" s="3" customFormat="1" ht="14.25" x14ac:dyDescent="0.2">
      <c r="A85" s="9"/>
      <c r="C85" s="111"/>
      <c r="D85" s="54"/>
      <c r="E85" s="112"/>
      <c r="F85" s="112"/>
      <c r="G85" s="112"/>
      <c r="H85" s="112"/>
      <c r="I85" s="112"/>
      <c r="J85" s="112"/>
      <c r="K85" s="112"/>
      <c r="L85" s="121"/>
      <c r="M85" s="54"/>
      <c r="N85" s="54"/>
      <c r="O85" s="54"/>
    </row>
    <row r="86" spans="1:15" s="3" customFormat="1" ht="14.25" x14ac:dyDescent="0.2">
      <c r="A86" s="9"/>
      <c r="C86" s="117">
        <v>13</v>
      </c>
      <c r="D86" s="117" t="s">
        <v>104</v>
      </c>
      <c r="E86" s="118">
        <v>0</v>
      </c>
      <c r="F86" s="118">
        <v>1</v>
      </c>
      <c r="G86" s="118">
        <v>-10000</v>
      </c>
      <c r="H86" s="118">
        <v>10000</v>
      </c>
      <c r="I86" s="118"/>
      <c r="J86" s="118">
        <v>-10000</v>
      </c>
      <c r="K86" s="118">
        <v>10000</v>
      </c>
      <c r="L86" s="118" t="str">
        <f>'Kennzahlenbogen_(KB)'!Q67</f>
        <v>n.d.</v>
      </c>
      <c r="M86" s="117">
        <f>IF('Kennzahlenbogen_(KB)'!R65=Berechnung1!$G$4,1,IF('Kennzahlenbogen_(KB)'!R65=Berechnung1!$F$4,1,IF('Kennzahlenbogen_(KB)'!R65=Berechnung1!$E$4,2,IF('Kennzahlenbogen_(KB)'!R65=Berechnung1!$D$4,3,IF('Kennzahlenbogen_(KB)'!R65=Berechnung1!$C$4,4,"")))))</f>
        <v>1</v>
      </c>
      <c r="N86" s="117">
        <f>IF(M86&gt;1,M86+3,M86)</f>
        <v>1</v>
      </c>
      <c r="O86" s="117">
        <f>IF('Kennzahlenbogen_(KB)'!T65="",0,1)</f>
        <v>0</v>
      </c>
    </row>
    <row r="87" spans="1:15" s="3" customFormat="1" ht="14.25" x14ac:dyDescent="0.2">
      <c r="A87" s="9"/>
      <c r="C87" s="111"/>
      <c r="D87" s="54"/>
      <c r="E87" s="112"/>
      <c r="F87" s="112"/>
      <c r="G87" s="112"/>
      <c r="H87" s="112"/>
      <c r="I87" s="112"/>
      <c r="J87" s="112"/>
      <c r="K87" s="112"/>
      <c r="L87" s="54"/>
      <c r="M87" s="54"/>
      <c r="N87" s="54"/>
      <c r="O87" s="114"/>
    </row>
    <row r="88" spans="1:15" s="3" customFormat="1" ht="14.25" x14ac:dyDescent="0.2">
      <c r="A88" s="9"/>
      <c r="C88" s="111"/>
      <c r="D88" s="54"/>
      <c r="E88" s="112"/>
      <c r="F88" s="112"/>
      <c r="G88" s="112"/>
      <c r="H88" s="112"/>
      <c r="I88" s="112"/>
      <c r="J88" s="112"/>
      <c r="K88" s="112"/>
      <c r="L88" s="54"/>
      <c r="M88" s="54"/>
      <c r="N88" s="54"/>
      <c r="O88" s="114"/>
    </row>
    <row r="89" spans="1:15" s="3" customFormat="1" ht="14.25" x14ac:dyDescent="0.2">
      <c r="A89" s="9"/>
      <c r="B89" s="476" t="s">
        <v>567</v>
      </c>
      <c r="C89" s="411">
        <v>14</v>
      </c>
      <c r="D89" s="411" t="s">
        <v>104</v>
      </c>
      <c r="E89" s="412">
        <v>0</v>
      </c>
      <c r="F89" s="412">
        <v>1</v>
      </c>
      <c r="G89" s="412">
        <v>0.9</v>
      </c>
      <c r="H89" s="412">
        <v>10000</v>
      </c>
      <c r="I89" s="412"/>
      <c r="J89" s="412">
        <v>-10000</v>
      </c>
      <c r="K89" s="412">
        <v>10000</v>
      </c>
      <c r="L89" s="412" t="str">
        <f>'Kennzahlenbogen_(KB)'!Q70</f>
        <v>n.d.</v>
      </c>
      <c r="M89" s="411">
        <f>IF('Kennzahlenbogen_(KB)'!R68=Berechnung1!$H$4,5,IF('Kennzahlenbogen_(KB)'!R68=Berechnung1!$G$4,1,IF('Kennzahlenbogen_(KB)'!R68=Berechnung1!$F$4,1,IF('Kennzahlenbogen_(KB)'!R68=Berechnung1!$E$4,2,IF('Kennzahlenbogen_(KB)'!R68=Berechnung1!$D$4,3,IF('Kennzahlenbogen_(KB)'!R68=Berechnung1!$C$4,4,""))))))</f>
        <v>1</v>
      </c>
      <c r="N89" s="411">
        <f>IF(M89&gt;1,M89+3,M89)</f>
        <v>1</v>
      </c>
      <c r="O89" s="411">
        <f>IF('Kennzahlenbogen_(KB)'!T68="",0,1)</f>
        <v>0</v>
      </c>
    </row>
    <row r="90" spans="1:15" s="3" customFormat="1" ht="14.25" x14ac:dyDescent="0.2">
      <c r="A90" s="9"/>
      <c r="C90" s="111"/>
      <c r="D90" s="54"/>
      <c r="E90" s="112"/>
      <c r="F90" s="112"/>
      <c r="G90" s="112"/>
      <c r="H90" s="112"/>
      <c r="I90" s="112"/>
      <c r="J90" s="112"/>
      <c r="K90" s="112"/>
      <c r="L90" s="54"/>
      <c r="M90" s="54"/>
      <c r="N90" s="54"/>
      <c r="O90" s="54"/>
    </row>
    <row r="91" spans="1:15" s="3" customFormat="1" ht="14.25" x14ac:dyDescent="0.2">
      <c r="A91" s="9"/>
      <c r="C91" s="111"/>
      <c r="D91" s="54"/>
      <c r="E91" s="112"/>
      <c r="F91" s="112"/>
      <c r="G91" s="112"/>
      <c r="H91" s="112"/>
      <c r="I91" s="112"/>
      <c r="J91" s="112"/>
      <c r="K91" s="112"/>
      <c r="L91" s="54"/>
      <c r="M91" s="54"/>
      <c r="N91" s="54"/>
      <c r="O91" s="54"/>
    </row>
    <row r="92" spans="1:15" s="3" customFormat="1" ht="14.25" x14ac:dyDescent="0.2">
      <c r="A92" s="9"/>
      <c r="B92" s="476" t="s">
        <v>567</v>
      </c>
      <c r="C92" s="411">
        <v>15</v>
      </c>
      <c r="D92" s="411" t="s">
        <v>104</v>
      </c>
      <c r="E92" s="412">
        <v>0</v>
      </c>
      <c r="F92" s="412">
        <v>1</v>
      </c>
      <c r="G92" s="412">
        <v>0.8</v>
      </c>
      <c r="H92" s="412">
        <v>10000</v>
      </c>
      <c r="I92" s="412"/>
      <c r="J92" s="412">
        <v>-10000</v>
      </c>
      <c r="K92" s="412">
        <v>10000</v>
      </c>
      <c r="L92" s="412" t="str">
        <f>'Kennzahlenbogen_(KB)'!Q73</f>
        <v>n.d.</v>
      </c>
      <c r="M92" s="411">
        <f>IF('Kennzahlenbogen_(KB)'!R71=Berechnung1!$H$4,5,IF('Kennzahlenbogen_(KB)'!R71=Berechnung1!$G$4,1,IF('Kennzahlenbogen_(KB)'!R71=Berechnung1!$F$4,1,IF('Kennzahlenbogen_(KB)'!R71=Berechnung1!$E$4,2,IF(AND('Kennzahlenbogen_(KB)'!R71=Berechnung1!$D$4,'Kennzahlenbogen_(KB)'!Q71=0,'Kennzahlenbogen_(KB)'!Q72=0),5,IF('Kennzahlenbogen_(KB)'!R71=Berechnung1!$D$4,3,IF('Kennzahlenbogen_(KB)'!R71=Berechnung1!$C$4,4,"")))))))</f>
        <v>1</v>
      </c>
      <c r="N92" s="411">
        <f>IF(M92&gt;1,M92+3,M92)</f>
        <v>1</v>
      </c>
      <c r="O92" s="411">
        <f>IF('Kennzahlenbogen_(KB)'!T71="",0,1)</f>
        <v>0</v>
      </c>
    </row>
    <row r="93" spans="1:15" s="3" customFormat="1" ht="14.25" x14ac:dyDescent="0.2">
      <c r="A93" s="9"/>
      <c r="C93" s="111"/>
      <c r="D93" s="54"/>
      <c r="E93" s="112"/>
      <c r="F93" s="112"/>
      <c r="G93" s="112"/>
      <c r="H93" s="112"/>
      <c r="I93" s="112"/>
      <c r="J93" s="112"/>
      <c r="K93" s="112"/>
      <c r="L93" s="54"/>
      <c r="M93" s="54"/>
      <c r="N93" s="54"/>
      <c r="O93" s="54"/>
    </row>
    <row r="94" spans="1:15" s="3" customFormat="1" ht="14.25" x14ac:dyDescent="0.2">
      <c r="A94" s="9"/>
      <c r="C94" s="111"/>
      <c r="D94" s="54"/>
      <c r="E94" s="112"/>
      <c r="F94" s="112"/>
      <c r="G94" s="112"/>
      <c r="H94" s="112"/>
      <c r="I94" s="112"/>
      <c r="J94" s="112"/>
      <c r="K94" s="112"/>
      <c r="L94" s="54"/>
      <c r="M94" s="54"/>
      <c r="N94" s="54"/>
      <c r="O94" s="54"/>
    </row>
    <row r="95" spans="1:15" s="3" customFormat="1" ht="14.25" x14ac:dyDescent="0.2">
      <c r="A95" s="9"/>
      <c r="B95" s="476" t="s">
        <v>567</v>
      </c>
      <c r="C95" s="411">
        <v>16</v>
      </c>
      <c r="D95" s="411" t="s">
        <v>104</v>
      </c>
      <c r="E95" s="412">
        <v>0</v>
      </c>
      <c r="F95" s="412">
        <v>1</v>
      </c>
      <c r="G95" s="412">
        <v>0.7</v>
      </c>
      <c r="H95" s="412">
        <v>10000</v>
      </c>
      <c r="I95" s="412"/>
      <c r="J95" s="412">
        <v>-10000</v>
      </c>
      <c r="K95" s="412">
        <v>10000</v>
      </c>
      <c r="L95" s="412" t="str">
        <f>'Kennzahlenbogen_(KB)'!Q76</f>
        <v>n.d.</v>
      </c>
      <c r="M95" s="411">
        <f>IF('Kennzahlenbogen_(KB)'!R74=Berechnung1!$H$4,5,IF('Kennzahlenbogen_(KB)'!R74=Berechnung1!$G$4,1,IF('Kennzahlenbogen_(KB)'!R74=Berechnung1!$F$4,1,IF('Kennzahlenbogen_(KB)'!R74=Berechnung1!$E$4,2,IF(AND('Kennzahlenbogen_(KB)'!R74=Berechnung1!$D$4,'Kennzahlenbogen_(KB)'!Q74=0,'Kennzahlenbogen_(KB)'!Q75=0),5,IF('Kennzahlenbogen_(KB)'!R74=Berechnung1!$D$4,3,IF('Kennzahlenbogen_(KB)'!R74=Berechnung1!$C$4,4,"")))))))</f>
        <v>1</v>
      </c>
      <c r="N95" s="411">
        <f>IF(M95&gt;1,M95+3,M95)</f>
        <v>1</v>
      </c>
      <c r="O95" s="411">
        <f>IF('Kennzahlenbogen_(KB)'!T74="",0,1)</f>
        <v>0</v>
      </c>
    </row>
    <row r="96" spans="1:15" s="3" customFormat="1" ht="14.25" x14ac:dyDescent="0.2">
      <c r="A96" s="9"/>
      <c r="C96" s="111"/>
      <c r="D96" s="54"/>
      <c r="E96" s="112"/>
      <c r="F96" s="112"/>
      <c r="G96" s="112"/>
      <c r="H96" s="112"/>
      <c r="I96" s="112"/>
      <c r="J96" s="112"/>
      <c r="K96" s="112"/>
      <c r="L96" s="54"/>
      <c r="M96" s="54"/>
      <c r="N96" s="54"/>
      <c r="O96" s="54"/>
    </row>
    <row r="97" spans="1:15" s="3" customFormat="1" ht="14.25" x14ac:dyDescent="0.2">
      <c r="A97" s="9"/>
      <c r="C97" s="111"/>
      <c r="D97" s="54"/>
      <c r="E97" s="112"/>
      <c r="F97" s="112"/>
      <c r="G97" s="112"/>
      <c r="H97" s="112"/>
      <c r="I97" s="112"/>
      <c r="J97" s="112"/>
      <c r="K97" s="112"/>
      <c r="L97" s="54"/>
      <c r="M97" s="54"/>
      <c r="N97" s="54"/>
      <c r="O97" s="54"/>
    </row>
    <row r="98" spans="1:15" s="3" customFormat="1" ht="14.25" x14ac:dyDescent="0.2">
      <c r="A98" s="9"/>
      <c r="B98" s="476" t="s">
        <v>567</v>
      </c>
      <c r="C98" s="411">
        <v>17</v>
      </c>
      <c r="D98" s="411" t="s">
        <v>104</v>
      </c>
      <c r="E98" s="412">
        <v>0</v>
      </c>
      <c r="F98" s="412">
        <v>1</v>
      </c>
      <c r="G98" s="412">
        <v>-10000</v>
      </c>
      <c r="H98" s="412">
        <v>0.15</v>
      </c>
      <c r="I98" s="412"/>
      <c r="J98" s="412">
        <v>-10000</v>
      </c>
      <c r="K98" s="412">
        <v>10000</v>
      </c>
      <c r="L98" s="412" t="str">
        <f>'Kennzahlenbogen_(KB)'!Q79</f>
        <v>n.d.</v>
      </c>
      <c r="M98" s="411">
        <f>IF('Kennzahlenbogen_(KB)'!R77=Berechnung1!$H$4,5,IF('Kennzahlenbogen_(KB)'!R77=Berechnung1!$G$4,1,IF('Kennzahlenbogen_(KB)'!R77=Berechnung1!$F$4,1,IF('Kennzahlenbogen_(KB)'!R77=Berechnung1!$E$4,2,IF(AND('Kennzahlenbogen_(KB)'!R77=Berechnung1!$D$4,'Kennzahlenbogen_(KB)'!Q77=0,'Kennzahlenbogen_(KB)'!Q78=0),5,IF('Kennzahlenbogen_(KB)'!R77=Berechnung1!$D$4,3,IF('Kennzahlenbogen_(KB)'!R77=Berechnung1!$C$4,4,"")))))))</f>
        <v>1</v>
      </c>
      <c r="N98" s="411">
        <f>IF(M98&gt;1,M98+3,M98)</f>
        <v>1</v>
      </c>
      <c r="O98" s="411">
        <f>IF('Kennzahlenbogen_(KB)'!T77="",0,1)</f>
        <v>0</v>
      </c>
    </row>
    <row r="99" spans="1:15" s="3" customFormat="1" ht="14.25" x14ac:dyDescent="0.2">
      <c r="A99" s="9"/>
      <c r="C99" s="111"/>
      <c r="D99" s="54"/>
      <c r="E99" s="112"/>
      <c r="F99" s="112"/>
      <c r="G99" s="112"/>
      <c r="H99" s="112"/>
      <c r="I99" s="112"/>
      <c r="J99" s="112"/>
      <c r="K99" s="112"/>
      <c r="L99" s="54"/>
      <c r="M99" s="54"/>
      <c r="N99" s="54"/>
      <c r="O99" s="114"/>
    </row>
    <row r="100" spans="1:15" s="3" customFormat="1" ht="14.25" x14ac:dyDescent="0.2">
      <c r="A100" s="9"/>
      <c r="C100" s="111"/>
      <c r="D100" s="54"/>
      <c r="E100" s="112"/>
      <c r="F100" s="112"/>
      <c r="G100" s="112"/>
      <c r="H100" s="112"/>
      <c r="I100" s="112"/>
      <c r="J100" s="112"/>
      <c r="K100" s="112"/>
      <c r="L100" s="54"/>
      <c r="M100" s="54"/>
      <c r="N100" s="54"/>
      <c r="O100" s="114"/>
    </row>
    <row r="101" spans="1:15" s="3" customFormat="1" ht="14.25" x14ac:dyDescent="0.2">
      <c r="A101" s="9"/>
      <c r="B101" s="476" t="s">
        <v>567</v>
      </c>
      <c r="C101" s="411">
        <v>18</v>
      </c>
      <c r="D101" s="411" t="s">
        <v>104</v>
      </c>
      <c r="E101" s="412">
        <v>0</v>
      </c>
      <c r="F101" s="412">
        <v>1</v>
      </c>
      <c r="G101" s="412">
        <v>-10000</v>
      </c>
      <c r="H101" s="412">
        <v>3.5000000000000003E-2</v>
      </c>
      <c r="I101" s="412"/>
      <c r="J101" s="412">
        <v>-10000</v>
      </c>
      <c r="K101" s="412">
        <v>10000</v>
      </c>
      <c r="L101" s="412" t="str">
        <f>'Kennzahlenbogen_(KB)'!Q82</f>
        <v>n.d.</v>
      </c>
      <c r="M101" s="411">
        <f>IF('Kennzahlenbogen_(KB)'!R80=Berechnung1!$H$4,5,IF('Kennzahlenbogen_(KB)'!R80=Berechnung1!$G$4,1,IF('Kennzahlenbogen_(KB)'!R80=Berechnung1!$F$4,1,IF('Kennzahlenbogen_(KB)'!R80=Berechnung1!$E$4,2,IF(AND('Kennzahlenbogen_(KB)'!R80=Berechnung1!$D$4,'Kennzahlenbogen_(KB)'!Q80=0,'Kennzahlenbogen_(KB)'!Q81=0),5,IF('Kennzahlenbogen_(KB)'!R80=Berechnung1!$D$4,3,IF('Kennzahlenbogen_(KB)'!R80=Berechnung1!$C$4,4,"")))))))</f>
        <v>1</v>
      </c>
      <c r="N101" s="411">
        <f>IF(M101&gt;1,M101+3,M101)</f>
        <v>1</v>
      </c>
      <c r="O101" s="411">
        <f>IF('Kennzahlenbogen_(KB)'!T80="",0,1)</f>
        <v>0</v>
      </c>
    </row>
    <row r="102" spans="1:15" s="3" customFormat="1" ht="14.25" x14ac:dyDescent="0.2">
      <c r="A102" s="9"/>
      <c r="C102" s="111"/>
      <c r="D102" s="54"/>
      <c r="E102" s="112"/>
      <c r="F102" s="112"/>
      <c r="G102" s="112"/>
      <c r="H102" s="112"/>
      <c r="I102" s="112"/>
      <c r="J102" s="112"/>
      <c r="K102" s="112"/>
      <c r="L102" s="54"/>
      <c r="M102" s="54"/>
      <c r="N102" s="54"/>
      <c r="O102" s="114"/>
    </row>
    <row r="103" spans="1:15" s="3" customFormat="1" ht="14.25" x14ac:dyDescent="0.2">
      <c r="A103" s="9"/>
      <c r="C103" s="111"/>
      <c r="D103" s="54"/>
      <c r="E103" s="112"/>
      <c r="F103" s="112"/>
      <c r="G103" s="112"/>
      <c r="H103" s="112"/>
      <c r="I103" s="112"/>
      <c r="J103" s="112"/>
      <c r="K103" s="112"/>
      <c r="L103" s="54"/>
      <c r="M103" s="54"/>
      <c r="N103" s="54"/>
      <c r="O103" s="114"/>
    </row>
    <row r="104" spans="1:15" x14ac:dyDescent="0.25">
      <c r="B104" s="476" t="s">
        <v>567</v>
      </c>
      <c r="C104" s="411">
        <v>19</v>
      </c>
      <c r="D104" s="411" t="s">
        <v>104</v>
      </c>
      <c r="E104" s="412">
        <v>0</v>
      </c>
      <c r="F104" s="412">
        <v>1</v>
      </c>
      <c r="G104" s="412">
        <v>0.9</v>
      </c>
      <c r="H104" s="412">
        <v>10000</v>
      </c>
      <c r="I104" s="412"/>
      <c r="J104" s="412">
        <v>-10000</v>
      </c>
      <c r="K104" s="412">
        <v>10000</v>
      </c>
      <c r="L104" s="412" t="str">
        <f>'Kennzahlenbogen_(KB)'!Q85</f>
        <v>n.d.</v>
      </c>
      <c r="M104" s="411">
        <f>IF('Kennzahlenbogen_(KB)'!R83=Berechnung1!$H$4,5,IF('Kennzahlenbogen_(KB)'!R83=Berechnung1!$G$4,1,IF('Kennzahlenbogen_(KB)'!R83=Berechnung1!$F$4,1,IF('Kennzahlenbogen_(KB)'!R83=Berechnung1!$E$4,2,IF(AND('Kennzahlenbogen_(KB)'!R83=Berechnung1!$D$4,'Kennzahlenbogen_(KB)'!Q83=0,'Kennzahlenbogen_(KB)'!Q84=0),5,IF('Kennzahlenbogen_(KB)'!R83=Berechnung1!$D$4,3,IF('Kennzahlenbogen_(KB)'!R83=Berechnung1!$C$4,4,"")))))))</f>
        <v>1</v>
      </c>
      <c r="N104" s="411">
        <f>IF(M104&gt;1,M104+3,M104)</f>
        <v>1</v>
      </c>
      <c r="O104" s="411">
        <f>IF('Kennzahlenbogen_(KB)'!T83="",0,1)</f>
        <v>0</v>
      </c>
    </row>
    <row r="105" spans="1:15" x14ac:dyDescent="0.25">
      <c r="C105" s="111"/>
      <c r="D105" s="54"/>
      <c r="E105" s="112"/>
      <c r="F105" s="112"/>
      <c r="G105" s="112"/>
      <c r="H105" s="112"/>
      <c r="I105" s="112"/>
      <c r="J105" s="112"/>
      <c r="K105" s="112"/>
      <c r="L105" s="54"/>
      <c r="M105" s="54"/>
      <c r="N105" s="54"/>
      <c r="O105" s="54"/>
    </row>
    <row r="106" spans="1:15" x14ac:dyDescent="0.25">
      <c r="C106" s="111"/>
      <c r="D106" s="54"/>
      <c r="E106" s="112"/>
      <c r="F106" s="112"/>
      <c r="G106" s="112"/>
      <c r="H106" s="112"/>
      <c r="I106" s="112"/>
      <c r="J106" s="112"/>
      <c r="K106" s="112"/>
      <c r="L106" s="54"/>
      <c r="M106" s="54"/>
      <c r="N106" s="54"/>
      <c r="O106" s="54"/>
    </row>
    <row r="107" spans="1:15" x14ac:dyDescent="0.25">
      <c r="B107" s="506" t="s">
        <v>567</v>
      </c>
      <c r="C107" s="415">
        <v>20</v>
      </c>
      <c r="D107" s="415" t="s">
        <v>104</v>
      </c>
      <c r="E107" s="416">
        <v>0</v>
      </c>
      <c r="F107" s="416">
        <v>1</v>
      </c>
      <c r="G107" s="416">
        <v>-10000</v>
      </c>
      <c r="H107" s="507">
        <v>9.9999000000000008E-4</v>
      </c>
      <c r="I107" s="416"/>
      <c r="J107" s="416">
        <v>-10000</v>
      </c>
      <c r="K107" s="416">
        <v>10000</v>
      </c>
      <c r="L107" s="416" t="str">
        <f>'Kennzahlenbogen_(KB)'!Q88</f>
        <v>n.d.</v>
      </c>
      <c r="M107" s="508">
        <f>IF('Kennzahlenbogen_(KB)'!R86=Berechnung1!$H$4,5,IF('Kennzahlenbogen_(KB)'!R86=Berechnung1!$G$4,1,IF('Kennzahlenbogen_(KB)'!R86=Berechnung1!$F$4,1,IF('Kennzahlenbogen_(KB)'!R86=Berechnung1!$E$4,2,IF(AND('Kennzahlenbogen_(KB)'!R86=Berechnung1!$D$4,'Kennzahlenbogen_(KB)'!Q86=0,'Kennzahlenbogen_(KB)'!Q87=0),5,IF('Kennzahlenbogen_(KB)'!R86=Berechnung1!$D$4,3,IF('Kennzahlenbogen_(KB)'!R86=Berechnung1!$C$4,4,"")))))))</f>
        <v>1</v>
      </c>
      <c r="N107" s="415">
        <f>IF(M107&gt;1,M107+3,M107)</f>
        <v>1</v>
      </c>
      <c r="O107" s="415">
        <f>IF('Kennzahlenbogen_(KB)'!T86="",0,1)</f>
        <v>0</v>
      </c>
    </row>
    <row r="108" spans="1:15" x14ac:dyDescent="0.25">
      <c r="B108" s="36"/>
      <c r="C108" s="496"/>
      <c r="D108" s="497"/>
      <c r="E108" s="497"/>
      <c r="F108" s="497"/>
      <c r="G108" s="497"/>
      <c r="H108" s="497"/>
      <c r="I108" s="497"/>
      <c r="J108" s="497"/>
      <c r="K108" s="497"/>
      <c r="L108" s="497"/>
      <c r="M108" s="497"/>
      <c r="N108" s="54"/>
      <c r="O108" s="54"/>
    </row>
    <row r="109" spans="1:15" x14ac:dyDescent="0.25">
      <c r="C109" s="497"/>
      <c r="D109" s="497"/>
      <c r="E109" s="497"/>
      <c r="F109" s="497"/>
      <c r="G109" s="497"/>
      <c r="H109" s="497"/>
      <c r="I109" s="497"/>
      <c r="J109" s="497"/>
      <c r="K109" s="497"/>
      <c r="L109" s="497"/>
      <c r="M109" s="497"/>
      <c r="N109" s="54"/>
      <c r="O109" s="54"/>
    </row>
    <row r="110" spans="1:15" x14ac:dyDescent="0.25">
      <c r="B110" s="509" t="s">
        <v>567</v>
      </c>
      <c r="C110" s="411">
        <v>21</v>
      </c>
      <c r="D110" s="411" t="s">
        <v>104</v>
      </c>
      <c r="E110" s="412">
        <v>0</v>
      </c>
      <c r="F110" s="412">
        <v>1</v>
      </c>
      <c r="G110" s="412">
        <v>-10000</v>
      </c>
      <c r="H110" s="507">
        <v>9.9999000000000008E-4</v>
      </c>
      <c r="I110" s="412"/>
      <c r="J110" s="416">
        <v>-10000</v>
      </c>
      <c r="K110" s="416">
        <v>10000</v>
      </c>
      <c r="L110" s="412" t="str">
        <f>'Kennzahlenbogen_(KB)'!Q91</f>
        <v>n.d.</v>
      </c>
      <c r="M110" s="411">
        <f>IF('Kennzahlenbogen_(KB)'!R89=Berechnung1!$H$4,5,IF('Kennzahlenbogen_(KB)'!R89=Berechnung1!$G$4,1,IF('Kennzahlenbogen_(KB)'!R89=Berechnung1!$F$4,1,IF('Kennzahlenbogen_(KB)'!R89=Berechnung1!$E$4,2,IF(AND('Kennzahlenbogen_(KB)'!R89=Berechnung1!$D$4,'Kennzahlenbogen_(KB)'!Q89=0,'Kennzahlenbogen_(KB)'!Q90=0),5,IF('Kennzahlenbogen_(KB)'!R89=Berechnung1!$D$4,3,IF('Kennzahlenbogen_(KB)'!R89=Berechnung1!$C$4,4,"")))))))</f>
        <v>1</v>
      </c>
      <c r="N110" s="411">
        <f t="shared" ref="N110" si="2">IF(M110&gt;1,M110+3,M110)</f>
        <v>1</v>
      </c>
      <c r="O110" s="411">
        <f>IF('Kennzahlenbogen_(KB)'!T89="",0,1)</f>
        <v>0</v>
      </c>
    </row>
    <row r="111" spans="1:15" x14ac:dyDescent="0.25">
      <c r="C111" s="54"/>
      <c r="D111" s="54"/>
      <c r="E111" s="121"/>
      <c r="F111" s="121"/>
      <c r="G111" s="121"/>
      <c r="H111" s="550"/>
      <c r="I111" s="121"/>
      <c r="J111" s="551"/>
      <c r="K111" s="551"/>
      <c r="L111" s="121"/>
      <c r="M111" s="54"/>
      <c r="N111" s="54"/>
      <c r="O111" s="54"/>
    </row>
    <row r="112" spans="1:15" x14ac:dyDescent="0.25">
      <c r="C112" s="54"/>
      <c r="D112" s="54"/>
      <c r="E112" s="121"/>
      <c r="F112" s="121"/>
      <c r="G112" s="121"/>
      <c r="H112" s="550"/>
      <c r="I112" s="121"/>
      <c r="J112" s="551"/>
      <c r="K112" s="551"/>
      <c r="L112" s="121"/>
      <c r="M112" s="54"/>
      <c r="N112" s="54"/>
      <c r="O112" s="54"/>
    </row>
    <row r="113" spans="3:15" x14ac:dyDescent="0.25">
      <c r="C113" s="117">
        <v>22</v>
      </c>
      <c r="D113" s="117" t="s">
        <v>104</v>
      </c>
      <c r="E113" s="118">
        <v>0</v>
      </c>
      <c r="F113" s="118">
        <v>1</v>
      </c>
      <c r="G113" s="118">
        <v>-10000</v>
      </c>
      <c r="H113" s="118">
        <v>10000</v>
      </c>
      <c r="I113" s="118"/>
      <c r="J113" s="552">
        <v>-10000</v>
      </c>
      <c r="K113" s="552">
        <v>10000</v>
      </c>
      <c r="L113" s="118" t="str">
        <f>'Kennzahlenbogen_(KB)'!Q94</f>
        <v>n.d.</v>
      </c>
      <c r="M113" s="117">
        <f>IF('Kennzahlenbogen_(KB)'!R92=Berechnung1!$H$4,5,IF('Kennzahlenbogen_(KB)'!R92=Berechnung1!$G$4,1,IF('Kennzahlenbogen_(KB)'!R92=Berechnung1!$F$4,1,IF('Kennzahlenbogen_(KB)'!R92=Berechnung1!$E$4,2,IF(AND('Kennzahlenbogen_(KB)'!R92=Berechnung1!$D$4,'Kennzahlenbogen_(KB)'!Q92=0,'Kennzahlenbogen_(KB)'!Q93=0),5,IF('Kennzahlenbogen_(KB)'!R92=Berechnung1!$D$4,3,IF('Kennzahlenbogen_(KB)'!R92=Berechnung1!$C$4,4,"")))))))</f>
        <v>1</v>
      </c>
      <c r="N113" s="117">
        <f t="shared" ref="N113" si="3">IF(M113&gt;1,M113+3,M113)</f>
        <v>1</v>
      </c>
      <c r="O113" s="117">
        <f>IF('Kennzahlenbogen_(KB)'!T92="",0,1)</f>
        <v>0</v>
      </c>
    </row>
    <row r="114" spans="3:15" x14ac:dyDescent="0.25">
      <c r="C114" s="54"/>
      <c r="D114" s="54"/>
      <c r="E114" s="121"/>
      <c r="F114" s="121"/>
      <c r="G114" s="121"/>
      <c r="H114" s="550"/>
      <c r="I114" s="121"/>
      <c r="J114" s="551"/>
      <c r="K114" s="551"/>
      <c r="L114" s="121"/>
      <c r="M114" s="54"/>
      <c r="N114" s="54"/>
      <c r="O114" s="54"/>
    </row>
    <row r="115" spans="3:15" x14ac:dyDescent="0.25">
      <c r="C115" s="54"/>
      <c r="D115" s="54"/>
      <c r="E115" s="121"/>
      <c r="F115" s="121"/>
      <c r="G115" s="121"/>
      <c r="H115" s="550"/>
      <c r="I115" s="121"/>
      <c r="J115" s="551"/>
      <c r="K115" s="551"/>
      <c r="L115" s="121"/>
      <c r="M115" s="54"/>
      <c r="N115" s="54"/>
      <c r="O115" s="54"/>
    </row>
    <row r="116" spans="3:15" x14ac:dyDescent="0.25">
      <c r="C116" s="117">
        <v>23</v>
      </c>
      <c r="D116" s="117" t="s">
        <v>104</v>
      </c>
      <c r="E116" s="118">
        <v>0</v>
      </c>
      <c r="F116" s="118">
        <v>1</v>
      </c>
      <c r="G116" s="118">
        <v>-10000</v>
      </c>
      <c r="H116" s="118">
        <v>10000</v>
      </c>
      <c r="I116" s="118"/>
      <c r="J116" s="552">
        <v>-10000</v>
      </c>
      <c r="K116" s="552">
        <v>10000</v>
      </c>
      <c r="L116" s="118" t="str">
        <f>'Kennzahlenbogen_(KB)'!Q97</f>
        <v>n.d.</v>
      </c>
      <c r="M116" s="117">
        <f>IF('Kennzahlenbogen_(KB)'!R95=Berechnung1!$H$4,5,IF('Kennzahlenbogen_(KB)'!R95=Berechnung1!$G$4,1,IF('Kennzahlenbogen_(KB)'!R95=Berechnung1!$F$4,1,IF('Kennzahlenbogen_(KB)'!R95=Berechnung1!$E$4,2,IF(AND('Kennzahlenbogen_(KB)'!R95=Berechnung1!$D$4,'Kennzahlenbogen_(KB)'!Q95=0,'Kennzahlenbogen_(KB)'!Q96=0),5,IF('Kennzahlenbogen_(KB)'!R95=Berechnung1!$D$4,3,IF('Kennzahlenbogen_(KB)'!R95=Berechnung1!$C$4,4,"")))))))</f>
        <v>1</v>
      </c>
      <c r="N116" s="117">
        <f t="shared" ref="N116" si="4">IF(M116&gt;1,M116+3,M116)</f>
        <v>1</v>
      </c>
      <c r="O116" s="117">
        <f>IF('Kennzahlenbogen_(KB)'!T95="",0,1)</f>
        <v>0</v>
      </c>
    </row>
    <row r="146" spans="1:15" x14ac:dyDescent="0.25">
      <c r="A146" s="29" t="s">
        <v>494</v>
      </c>
      <c r="C146" s="497"/>
      <c r="D146" s="497"/>
      <c r="E146" s="497"/>
      <c r="F146" s="497"/>
      <c r="G146" s="497"/>
      <c r="H146" s="498" t="s">
        <v>493</v>
      </c>
      <c r="I146" s="497"/>
      <c r="J146" s="497"/>
      <c r="K146" s="497"/>
      <c r="L146" s="497"/>
      <c r="M146" s="497"/>
      <c r="N146" s="54"/>
      <c r="O146" s="54"/>
    </row>
    <row r="147" spans="1:15" x14ac:dyDescent="0.25">
      <c r="A147" s="95"/>
      <c r="C147" s="497"/>
      <c r="D147" s="497"/>
      <c r="E147" s="497"/>
      <c r="F147" s="497"/>
      <c r="G147" s="497"/>
      <c r="H147" s="497"/>
      <c r="I147" s="497"/>
      <c r="J147" s="497"/>
      <c r="K147" s="497"/>
      <c r="L147" s="497"/>
      <c r="M147" s="497"/>
      <c r="N147" s="54"/>
      <c r="O147" s="54"/>
    </row>
    <row r="148" spans="1:15" x14ac:dyDescent="0.25">
      <c r="A148" s="126" t="s">
        <v>256</v>
      </c>
      <c r="B148" s="125"/>
      <c r="C148" s="499" t="s">
        <v>257</v>
      </c>
      <c r="D148" s="500" t="s">
        <v>131</v>
      </c>
      <c r="E148" s="500"/>
      <c r="F148" s="497"/>
      <c r="G148" s="497"/>
      <c r="H148" s="497" t="s">
        <v>495</v>
      </c>
      <c r="I148" s="497"/>
      <c r="J148" s="497"/>
      <c r="K148" s="497"/>
      <c r="L148" s="497"/>
      <c r="M148" s="497"/>
      <c r="N148" s="54"/>
      <c r="O148" s="54"/>
    </row>
    <row r="149" spans="1:15" x14ac:dyDescent="0.25">
      <c r="A149" s="52" t="s">
        <v>488</v>
      </c>
      <c r="B149" s="124"/>
      <c r="C149" s="501" t="s">
        <v>258</v>
      </c>
      <c r="D149" s="501" t="s">
        <v>259</v>
      </c>
      <c r="E149" s="501"/>
      <c r="F149" s="497"/>
      <c r="G149" s="497"/>
      <c r="H149" s="497"/>
      <c r="I149" s="497"/>
      <c r="J149" s="497"/>
      <c r="K149" s="497"/>
      <c r="L149" s="497"/>
      <c r="M149" s="497"/>
      <c r="N149" s="54"/>
      <c r="O149" s="54"/>
    </row>
    <row r="150" spans="1:15" x14ac:dyDescent="0.25">
      <c r="A150" s="155"/>
      <c r="B150" s="358"/>
      <c r="C150" s="501"/>
      <c r="D150" s="501" t="s">
        <v>260</v>
      </c>
      <c r="E150" s="501"/>
      <c r="F150" s="497"/>
      <c r="G150" s="497"/>
      <c r="H150" s="497" t="s">
        <v>496</v>
      </c>
      <c r="I150" s="497"/>
      <c r="J150" s="497"/>
      <c r="K150" s="497"/>
      <c r="L150" s="497"/>
      <c r="M150" s="497"/>
      <c r="N150" s="54"/>
      <c r="O150" s="54"/>
    </row>
    <row r="151" spans="1:15" x14ac:dyDescent="0.25">
      <c r="A151" s="123"/>
      <c r="B151" s="124"/>
      <c r="C151" s="501"/>
      <c r="D151" s="501" t="s">
        <v>264</v>
      </c>
      <c r="E151" s="501"/>
      <c r="F151" s="497"/>
      <c r="G151" s="497"/>
      <c r="H151" s="497"/>
      <c r="I151" s="497"/>
      <c r="J151" s="497"/>
      <c r="K151" s="497"/>
      <c r="L151" s="497"/>
      <c r="M151" s="497"/>
      <c r="N151" s="54"/>
      <c r="O151" s="54"/>
    </row>
    <row r="152" spans="1:15" x14ac:dyDescent="0.25">
      <c r="A152" s="155"/>
      <c r="B152" s="124"/>
      <c r="C152" s="501"/>
      <c r="D152" s="501"/>
      <c r="E152" s="501"/>
      <c r="F152" s="497"/>
      <c r="G152" s="497"/>
      <c r="H152" s="497" t="s">
        <v>497</v>
      </c>
      <c r="I152" s="497"/>
      <c r="J152" s="497"/>
      <c r="K152" s="497"/>
      <c r="L152" s="497"/>
      <c r="M152" s="497"/>
      <c r="N152" s="54"/>
      <c r="O152" s="54"/>
    </row>
    <row r="153" spans="1:15" x14ac:dyDescent="0.25">
      <c r="A153" s="155" t="s">
        <v>477</v>
      </c>
      <c r="B153" s="124"/>
      <c r="C153" s="501" t="s">
        <v>261</v>
      </c>
      <c r="D153" s="501" t="s">
        <v>262</v>
      </c>
      <c r="E153" s="501"/>
      <c r="F153" s="497"/>
      <c r="G153" s="497"/>
      <c r="H153" s="497"/>
      <c r="I153" s="497"/>
      <c r="J153" s="497"/>
      <c r="K153" s="497"/>
      <c r="L153" s="497"/>
      <c r="M153" s="497"/>
      <c r="N153" s="54"/>
      <c r="O153" s="54"/>
    </row>
    <row r="154" spans="1:15" x14ac:dyDescent="0.25">
      <c r="A154" s="155"/>
      <c r="B154" s="124"/>
      <c r="C154" s="501"/>
      <c r="D154" s="501" t="s">
        <v>263</v>
      </c>
      <c r="E154" s="501"/>
      <c r="F154" s="497"/>
      <c r="G154" s="497"/>
      <c r="H154" s="497" t="s">
        <v>498</v>
      </c>
      <c r="I154" s="497"/>
      <c r="J154" s="497"/>
      <c r="K154" s="497"/>
      <c r="L154" s="497"/>
      <c r="M154" s="497"/>
      <c r="N154" s="54"/>
      <c r="O154" s="54"/>
    </row>
    <row r="155" spans="1:15" x14ac:dyDescent="0.25">
      <c r="A155" s="155"/>
      <c r="B155" s="358"/>
      <c r="C155" s="501"/>
      <c r="D155" s="501" t="s">
        <v>476</v>
      </c>
      <c r="E155" s="501"/>
      <c r="F155" s="497"/>
      <c r="G155" s="497"/>
      <c r="H155" s="497"/>
      <c r="I155" s="497"/>
      <c r="J155" s="497"/>
      <c r="K155" s="497"/>
      <c r="L155" s="497"/>
      <c r="M155" s="497"/>
      <c r="N155" s="54"/>
      <c r="O155" s="54"/>
    </row>
    <row r="156" spans="1:15" x14ac:dyDescent="0.25">
      <c r="A156" s="123"/>
      <c r="B156" s="124"/>
      <c r="C156" s="501"/>
      <c r="D156" s="501"/>
      <c r="E156" s="501"/>
      <c r="F156" s="497"/>
      <c r="G156" s="497"/>
      <c r="H156" s="497" t="s">
        <v>274</v>
      </c>
      <c r="I156" s="497"/>
      <c r="J156" s="497"/>
      <c r="K156" s="497"/>
      <c r="L156" s="497"/>
      <c r="M156" s="497"/>
      <c r="N156" s="54"/>
      <c r="O156" s="54"/>
    </row>
    <row r="157" spans="1:15" x14ac:dyDescent="0.25">
      <c r="A157" s="360">
        <v>5</v>
      </c>
      <c r="B157" s="124"/>
      <c r="C157" s="501" t="s">
        <v>261</v>
      </c>
      <c r="D157" s="501" t="s">
        <v>262</v>
      </c>
      <c r="E157" s="501"/>
      <c r="F157" s="497"/>
      <c r="G157" s="497"/>
      <c r="H157" s="497"/>
      <c r="I157" s="497"/>
      <c r="J157" s="497"/>
      <c r="K157" s="497"/>
      <c r="L157" s="497"/>
      <c r="M157" s="497"/>
      <c r="N157" s="54"/>
      <c r="O157" s="54"/>
    </row>
    <row r="158" spans="1:15" x14ac:dyDescent="0.25">
      <c r="A158" s="124"/>
      <c r="B158" s="124"/>
      <c r="C158" s="501"/>
      <c r="D158" s="501" t="s">
        <v>263</v>
      </c>
      <c r="E158" s="501"/>
      <c r="F158" s="497"/>
      <c r="G158" s="497"/>
      <c r="H158" s="497"/>
      <c r="I158" s="497"/>
      <c r="J158" s="497"/>
      <c r="K158" s="497"/>
      <c r="L158" s="497"/>
      <c r="M158" s="497"/>
      <c r="N158" s="54"/>
      <c r="O158" s="54"/>
    </row>
    <row r="159" spans="1:15" x14ac:dyDescent="0.25">
      <c r="A159" s="124"/>
      <c r="B159" s="124"/>
      <c r="C159" s="501"/>
      <c r="D159" s="501" t="s">
        <v>501</v>
      </c>
      <c r="E159" s="501"/>
      <c r="F159" s="497"/>
      <c r="G159" s="497"/>
      <c r="H159" s="497"/>
      <c r="I159" s="497"/>
      <c r="J159" s="497"/>
      <c r="K159" s="497"/>
      <c r="L159" s="497"/>
      <c r="M159" s="497"/>
      <c r="N159" s="54"/>
      <c r="O159" s="54"/>
    </row>
    <row r="160" spans="1:15" x14ac:dyDescent="0.25">
      <c r="A160" s="124"/>
      <c r="B160" s="124"/>
      <c r="C160" s="501"/>
      <c r="D160" s="501"/>
      <c r="E160" s="501"/>
      <c r="F160" s="497"/>
      <c r="G160" s="497"/>
      <c r="H160" s="497"/>
      <c r="I160" s="497"/>
      <c r="J160" s="497"/>
      <c r="K160" s="497"/>
      <c r="L160" s="497"/>
      <c r="M160" s="497"/>
      <c r="N160" s="54"/>
      <c r="O160" s="54"/>
    </row>
    <row r="161" spans="1:15" x14ac:dyDescent="0.25">
      <c r="A161" s="360">
        <v>19</v>
      </c>
      <c r="B161" s="124"/>
      <c r="C161" s="501" t="s">
        <v>261</v>
      </c>
      <c r="D161" s="501" t="s">
        <v>262</v>
      </c>
      <c r="E161" s="501"/>
      <c r="F161" s="497"/>
      <c r="G161" s="497"/>
      <c r="H161" s="497"/>
      <c r="I161" s="497"/>
      <c r="J161" s="497"/>
      <c r="K161" s="497"/>
      <c r="L161" s="497"/>
      <c r="M161" s="497"/>
      <c r="N161" s="54"/>
      <c r="O161" s="54"/>
    </row>
    <row r="162" spans="1:15" x14ac:dyDescent="0.25">
      <c r="A162" s="124"/>
      <c r="B162" s="124"/>
      <c r="C162" s="501"/>
      <c r="D162" s="501" t="s">
        <v>263</v>
      </c>
      <c r="E162" s="501"/>
      <c r="F162" s="497"/>
      <c r="G162" s="497"/>
      <c r="H162" s="497"/>
      <c r="I162" s="497"/>
      <c r="J162" s="497"/>
      <c r="K162" s="497"/>
      <c r="L162" s="497"/>
      <c r="M162" s="497"/>
      <c r="N162" s="54"/>
      <c r="O162" s="54"/>
    </row>
    <row r="163" spans="1:15" x14ac:dyDescent="0.25">
      <c r="A163" s="124"/>
      <c r="B163" s="124"/>
      <c r="C163" s="501"/>
      <c r="D163" s="501" t="s">
        <v>502</v>
      </c>
      <c r="E163" s="501"/>
      <c r="F163" s="497"/>
      <c r="G163" s="497"/>
      <c r="H163" s="497"/>
      <c r="I163" s="497"/>
      <c r="J163" s="497"/>
      <c r="K163" s="497"/>
      <c r="L163" s="497"/>
      <c r="M163" s="497"/>
      <c r="N163" s="54"/>
      <c r="O163" s="54"/>
    </row>
    <row r="164" spans="1:15" x14ac:dyDescent="0.25">
      <c r="A164" s="124"/>
      <c r="B164" s="124"/>
      <c r="C164" s="501"/>
      <c r="D164" s="501"/>
      <c r="E164" s="501"/>
      <c r="F164" s="497"/>
      <c r="G164" s="497"/>
      <c r="H164" s="497"/>
      <c r="I164" s="497"/>
      <c r="J164" s="497"/>
      <c r="K164" s="497"/>
      <c r="L164" s="497"/>
      <c r="M164" s="497"/>
      <c r="N164" s="54"/>
      <c r="O164" s="54"/>
    </row>
    <row r="165" spans="1:15" ht="15" customHeight="1" x14ac:dyDescent="0.25">
      <c r="A165" s="363" t="s">
        <v>499</v>
      </c>
      <c r="B165" s="124"/>
      <c r="C165" s="501" t="s">
        <v>261</v>
      </c>
      <c r="D165" s="501" t="s">
        <v>262</v>
      </c>
      <c r="E165" s="501"/>
      <c r="F165" s="497"/>
      <c r="G165" s="497"/>
      <c r="H165" s="497"/>
      <c r="I165" s="497"/>
      <c r="J165" s="497"/>
      <c r="K165" s="497"/>
      <c r="L165" s="497"/>
      <c r="M165" s="497"/>
      <c r="N165" s="54"/>
      <c r="O165" s="54"/>
    </row>
    <row r="166" spans="1:15" x14ac:dyDescent="0.25">
      <c r="A166" s="364" t="s">
        <v>492</v>
      </c>
      <c r="B166" s="124"/>
      <c r="C166" s="501"/>
      <c r="D166" s="501" t="s">
        <v>263</v>
      </c>
      <c r="E166" s="501"/>
      <c r="F166" s="497"/>
      <c r="G166" s="497"/>
      <c r="H166" s="497"/>
      <c r="I166" s="497"/>
      <c r="J166" s="497"/>
      <c r="K166" s="497"/>
      <c r="L166" s="497"/>
      <c r="M166" s="497"/>
      <c r="N166" s="54"/>
      <c r="O166" s="54"/>
    </row>
    <row r="167" spans="1:15" x14ac:dyDescent="0.25">
      <c r="A167" s="124"/>
      <c r="B167" s="124"/>
      <c r="C167" s="501"/>
      <c r="D167" s="501" t="s">
        <v>489</v>
      </c>
      <c r="E167" s="501"/>
      <c r="F167" s="497"/>
      <c r="G167" s="497"/>
      <c r="H167" s="497"/>
      <c r="I167" s="497"/>
      <c r="J167" s="497"/>
      <c r="K167" s="497"/>
      <c r="L167" s="497"/>
      <c r="M167" s="497"/>
      <c r="N167" s="54"/>
      <c r="O167" s="54"/>
    </row>
    <row r="168" spans="1:15" x14ac:dyDescent="0.25">
      <c r="A168" s="124"/>
      <c r="B168" s="124"/>
      <c r="C168" s="501"/>
      <c r="D168" s="501"/>
      <c r="E168" s="501"/>
      <c r="F168" s="497"/>
      <c r="G168" s="497"/>
      <c r="H168" s="497"/>
      <c r="I168" s="497"/>
      <c r="J168" s="497"/>
      <c r="K168" s="497"/>
      <c r="L168" s="497"/>
      <c r="M168" s="497"/>
      <c r="N168" s="54"/>
      <c r="O168" s="54"/>
    </row>
    <row r="169" spans="1:15" x14ac:dyDescent="0.25">
      <c r="A169" s="930" t="s">
        <v>490</v>
      </c>
      <c r="B169" s="930"/>
      <c r="C169" s="501" t="s">
        <v>265</v>
      </c>
      <c r="D169" s="501" t="s">
        <v>259</v>
      </c>
      <c r="E169" s="501"/>
      <c r="F169" s="497"/>
      <c r="G169" s="497"/>
      <c r="H169" s="497"/>
      <c r="I169" s="497"/>
      <c r="J169" s="497"/>
      <c r="K169" s="497"/>
      <c r="L169" s="497"/>
      <c r="M169" s="497"/>
      <c r="N169" s="54"/>
      <c r="O169" s="54"/>
    </row>
    <row r="170" spans="1:15" x14ac:dyDescent="0.25">
      <c r="A170" s="359" t="s">
        <v>482</v>
      </c>
      <c r="B170" s="359"/>
      <c r="C170" s="501"/>
      <c r="D170" s="501" t="s">
        <v>260</v>
      </c>
      <c r="E170" s="501"/>
      <c r="F170" s="497"/>
      <c r="G170" s="497"/>
      <c r="H170" s="497"/>
      <c r="I170" s="497"/>
      <c r="J170" s="497"/>
      <c r="K170" s="497"/>
      <c r="L170" s="497"/>
      <c r="M170" s="497"/>
      <c r="N170" s="54"/>
      <c r="O170" s="54"/>
    </row>
    <row r="171" spans="1:15" x14ac:dyDescent="0.25">
      <c r="A171" s="124"/>
      <c r="B171" s="124"/>
      <c r="C171" s="501"/>
      <c r="D171" s="501"/>
      <c r="E171" s="501"/>
      <c r="F171" s="497"/>
      <c r="G171" s="497"/>
      <c r="H171" s="497"/>
      <c r="I171" s="497"/>
      <c r="J171" s="497"/>
      <c r="K171" s="497"/>
      <c r="L171" s="497"/>
      <c r="M171" s="497"/>
      <c r="N171" s="54"/>
      <c r="O171" s="54"/>
    </row>
    <row r="172" spans="1:15" x14ac:dyDescent="0.25">
      <c r="A172" s="360" t="s">
        <v>500</v>
      </c>
      <c r="B172" s="124"/>
      <c r="C172" s="501" t="s">
        <v>261</v>
      </c>
      <c r="D172" s="501" t="s">
        <v>478</v>
      </c>
      <c r="E172" s="501"/>
      <c r="F172" s="497"/>
      <c r="G172" s="497"/>
      <c r="H172" s="497"/>
      <c r="I172" s="497"/>
      <c r="J172" s="497"/>
      <c r="K172" s="497"/>
      <c r="L172" s="497"/>
      <c r="M172" s="497"/>
      <c r="N172" s="54"/>
      <c r="O172" s="54"/>
    </row>
    <row r="173" spans="1:15" x14ac:dyDescent="0.25">
      <c r="A173" s="359" t="s">
        <v>491</v>
      </c>
      <c r="B173" s="359"/>
      <c r="C173" s="501"/>
      <c r="D173" s="501" t="s">
        <v>479</v>
      </c>
      <c r="E173" s="501"/>
      <c r="F173" s="497"/>
      <c r="G173" s="497"/>
      <c r="H173" s="497"/>
      <c r="I173" s="497"/>
      <c r="J173" s="497"/>
      <c r="K173" s="497"/>
      <c r="L173" s="497"/>
      <c r="M173" s="497"/>
      <c r="N173" s="54"/>
      <c r="O173" s="54"/>
    </row>
    <row r="174" spans="1:15" x14ac:dyDescent="0.25">
      <c r="A174" s="124"/>
      <c r="B174" s="124"/>
      <c r="C174" s="501"/>
      <c r="D174" s="501"/>
      <c r="E174" s="501"/>
      <c r="F174" s="497"/>
      <c r="G174" s="497"/>
      <c r="H174" s="497"/>
      <c r="I174" s="497"/>
      <c r="J174" s="497"/>
      <c r="K174" s="497"/>
      <c r="L174" s="497"/>
      <c r="M174" s="497"/>
      <c r="N174" s="54"/>
      <c r="O174" s="54"/>
    </row>
    <row r="175" spans="1:15" x14ac:dyDescent="0.25">
      <c r="A175" s="360">
        <v>8</v>
      </c>
      <c r="B175" s="124"/>
      <c r="C175" s="501" t="s">
        <v>2</v>
      </c>
      <c r="D175" s="501" t="s">
        <v>480</v>
      </c>
      <c r="E175" s="501"/>
      <c r="F175" s="497" t="s">
        <v>481</v>
      </c>
      <c r="G175" s="497"/>
      <c r="H175" s="497"/>
      <c r="I175" s="497"/>
      <c r="J175" s="497"/>
      <c r="K175" s="497"/>
      <c r="L175" s="497"/>
      <c r="M175" s="497"/>
      <c r="N175" s="54"/>
      <c r="O175" s="54"/>
    </row>
    <row r="176" spans="1:15" x14ac:dyDescent="0.25">
      <c r="A176" s="360"/>
      <c r="B176" s="124"/>
      <c r="C176" s="501"/>
      <c r="D176" s="501"/>
      <c r="E176" s="501"/>
      <c r="F176" s="497"/>
      <c r="G176" s="497"/>
      <c r="H176" s="497"/>
      <c r="I176" s="497"/>
      <c r="J176" s="497"/>
      <c r="K176" s="497"/>
      <c r="L176" s="497"/>
      <c r="M176" s="497"/>
      <c r="N176" s="54"/>
      <c r="O176" s="54"/>
    </row>
    <row r="177" spans="1:15" x14ac:dyDescent="0.25">
      <c r="A177" s="124"/>
      <c r="B177" s="124"/>
      <c r="C177" s="501"/>
      <c r="D177" s="501"/>
      <c r="E177" s="501"/>
      <c r="F177" s="497"/>
      <c r="G177" s="497"/>
      <c r="H177" s="497"/>
      <c r="I177" s="497"/>
      <c r="J177" s="497"/>
      <c r="K177" s="497"/>
      <c r="L177" s="497"/>
      <c r="M177" s="497"/>
      <c r="N177" s="54"/>
      <c r="O177" s="54"/>
    </row>
    <row r="178" spans="1:15" x14ac:dyDescent="0.25">
      <c r="A178" s="124"/>
      <c r="B178" s="124"/>
      <c r="C178" s="501"/>
      <c r="D178" s="501"/>
      <c r="E178" s="501"/>
      <c r="F178" s="497"/>
      <c r="G178" s="497"/>
      <c r="H178" s="497"/>
      <c r="I178" s="497"/>
      <c r="J178" s="497"/>
      <c r="K178" s="497"/>
      <c r="L178" s="497"/>
      <c r="M178" s="497"/>
      <c r="N178" s="54"/>
      <c r="O178" s="54"/>
    </row>
    <row r="179" spans="1:15" x14ac:dyDescent="0.25">
      <c r="A179" s="124"/>
      <c r="B179" s="124"/>
      <c r="C179" s="501"/>
      <c r="D179" s="501"/>
      <c r="E179" s="501"/>
      <c r="F179" s="497"/>
      <c r="G179" s="497"/>
      <c r="H179" s="497"/>
      <c r="I179" s="497"/>
      <c r="J179" s="497"/>
      <c r="K179" s="497"/>
      <c r="L179" s="497"/>
      <c r="M179" s="497"/>
      <c r="N179" s="54"/>
      <c r="O179" s="54"/>
    </row>
    <row r="180" spans="1:15" x14ac:dyDescent="0.25">
      <c r="A180" s="123" t="s">
        <v>132</v>
      </c>
      <c r="B180" s="124"/>
      <c r="C180" s="501" t="s">
        <v>266</v>
      </c>
      <c r="D180" s="501"/>
      <c r="E180" s="501"/>
      <c r="F180" s="497"/>
      <c r="G180" s="497"/>
      <c r="H180" s="497"/>
      <c r="I180" s="497"/>
      <c r="J180" s="497"/>
      <c r="K180" s="497"/>
      <c r="L180" s="497"/>
      <c r="M180" s="497"/>
      <c r="N180" s="54"/>
      <c r="O180" s="54"/>
    </row>
    <row r="181" spans="1:15" x14ac:dyDescent="0.25">
      <c r="A181" s="124"/>
      <c r="B181" s="124"/>
      <c r="C181" s="501" t="s">
        <v>267</v>
      </c>
      <c r="D181" s="501"/>
      <c r="E181" s="501"/>
      <c r="F181" s="497"/>
      <c r="G181" s="497"/>
      <c r="H181" s="497"/>
      <c r="I181" s="497"/>
      <c r="J181" s="497"/>
      <c r="K181" s="497"/>
      <c r="L181" s="497"/>
      <c r="M181" s="497"/>
      <c r="N181" s="54"/>
      <c r="O181" s="54"/>
    </row>
    <row r="182" spans="1:15" x14ac:dyDescent="0.25">
      <c r="A182" s="124"/>
      <c r="B182" s="124"/>
      <c r="C182" s="501" t="s">
        <v>133</v>
      </c>
      <c r="D182" s="501"/>
      <c r="E182" s="501"/>
      <c r="F182" s="497"/>
      <c r="G182" s="497"/>
      <c r="H182" s="497"/>
      <c r="I182" s="497"/>
      <c r="J182" s="497"/>
      <c r="K182" s="497"/>
      <c r="L182" s="497"/>
      <c r="M182" s="497"/>
      <c r="N182" s="54"/>
      <c r="O182" s="54"/>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mergeCells count="1">
    <mergeCell ref="A169:B169"/>
  </mergeCells>
  <phoneticPr fontId="41" type="noConversion"/>
  <conditionalFormatting sqref="M27:O28 O42:O43">
    <cfRule type="cellIs" dxfId="118" priority="2019" operator="equal">
      <formula>$G$4</formula>
    </cfRule>
    <cfRule type="cellIs" dxfId="117" priority="2020" operator="equal">
      <formula>$F$4</formula>
    </cfRule>
    <cfRule type="cellIs" dxfId="116" priority="2021" operator="equal">
      <formula>$E$4</formula>
    </cfRule>
    <cfRule type="cellIs" dxfId="115" priority="2022" operator="equal">
      <formula>$D$4</formula>
    </cfRule>
  </conditionalFormatting>
  <conditionalFormatting sqref="O30:O31 O87:O88">
    <cfRule type="cellIs" dxfId="114" priority="71" operator="equal">
      <formula>$G$4</formula>
    </cfRule>
    <cfRule type="cellIs" dxfId="113" priority="72" operator="equal">
      <formula>$F$4</formula>
    </cfRule>
    <cfRule type="cellIs" dxfId="112" priority="73" operator="equal">
      <formula>$E$4</formula>
    </cfRule>
    <cfRule type="cellIs" dxfId="111" priority="74" operator="equal">
      <formula>$D$4</formula>
    </cfRule>
  </conditionalFormatting>
  <conditionalFormatting sqref="O34:O37">
    <cfRule type="cellIs" dxfId="110" priority="55" operator="equal">
      <formula>$G$4</formula>
    </cfRule>
    <cfRule type="cellIs" dxfId="109" priority="56" operator="equal">
      <formula>$F$4</formula>
    </cfRule>
    <cfRule type="cellIs" dxfId="108" priority="57" operator="equal">
      <formula>$E$4</formula>
    </cfRule>
    <cfRule type="cellIs" dxfId="107" priority="58" operator="equal">
      <formula>$D$4</formula>
    </cfRule>
  </conditionalFormatting>
  <conditionalFormatting sqref="O99:O100">
    <cfRule type="cellIs" dxfId="106" priority="9" operator="equal">
      <formula>$G$4</formula>
    </cfRule>
    <cfRule type="cellIs" dxfId="105" priority="10" operator="equal">
      <formula>$F$4</formula>
    </cfRule>
    <cfRule type="cellIs" dxfId="104" priority="11" operator="equal">
      <formula>$E$4</formula>
    </cfRule>
    <cfRule type="cellIs" dxfId="103" priority="12" operator="equal">
      <formula>$D$4</formula>
    </cfRule>
  </conditionalFormatting>
  <conditionalFormatting sqref="O102:O103">
    <cfRule type="cellIs" dxfId="102" priority="5" operator="equal">
      <formula>$G$4</formula>
    </cfRule>
    <cfRule type="cellIs" dxfId="101" priority="6" operator="equal">
      <formula>$F$4</formula>
    </cfRule>
    <cfRule type="cellIs" dxfId="100" priority="7" operator="equal">
      <formula>$E$4</formula>
    </cfRule>
    <cfRule type="cellIs" dxfId="99" priority="8" operator="equal">
      <formula>$D$4</formula>
    </cfRule>
  </conditionalFormatting>
  <pageMargins left="0.7" right="0.7" top="0.78740157499999996" bottom="0.78740157499999996" header="0.3" footer="0.3"/>
  <pageSetup paperSize="9" orientation="portrait" r:id="rId3"/>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dimension ref="B1:N43"/>
  <sheetViews>
    <sheetView showGridLines="0" showWhiteSpace="0" topLeftCell="A2" zoomScaleNormal="100" zoomScaleSheetLayoutView="41" workbookViewId="0">
      <selection activeCell="C50" sqref="C50"/>
    </sheetView>
  </sheetViews>
  <sheetFormatPr defaultColWidth="11.42578125" defaultRowHeight="15" x14ac:dyDescent="0.25"/>
  <cols>
    <col min="1" max="1" width="0.85546875" customWidth="1"/>
    <col min="2" max="2" width="5" style="97" customWidth="1"/>
    <col min="3" max="3" width="21.28515625" customWidth="1"/>
    <col min="4" max="4" width="6.85546875" customWidth="1"/>
    <col min="5" max="5" width="9.140625" customWidth="1"/>
    <col min="6" max="7" width="6.7109375" customWidth="1"/>
    <col min="8" max="8" width="6" customWidth="1"/>
    <col min="9" max="9" width="7" customWidth="1"/>
    <col min="10" max="10" width="10.140625" customWidth="1"/>
    <col min="11" max="12" width="30.85546875" customWidth="1"/>
    <col min="13" max="13" width="0.5703125" customWidth="1"/>
    <col min="14" max="14" width="14.140625" hidden="1" customWidth="1"/>
  </cols>
  <sheetData>
    <row r="1" spans="2:14" s="3" customFormat="1" ht="12" hidden="1" customHeight="1" x14ac:dyDescent="0.2">
      <c r="B1" s="10"/>
      <c r="C1" s="288" t="str">
        <f ca="1">IF(N11=TRUE,"A1:L15",CONCATENATE("A1:L",(MATCH("",B:B,-1)-1)))</f>
        <v>A1:L25</v>
      </c>
    </row>
    <row r="2" spans="2:14" s="3" customFormat="1" ht="18" customHeight="1" x14ac:dyDescent="0.2">
      <c r="B2" s="23" t="s">
        <v>887</v>
      </c>
      <c r="C2" s="23"/>
      <c r="D2" s="23"/>
      <c r="E2" s="23"/>
      <c r="F2" s="23"/>
      <c r="G2" s="23"/>
      <c r="H2" s="23"/>
      <c r="I2" s="23"/>
    </row>
    <row r="3" spans="2:14" s="3" customFormat="1" ht="15.75" x14ac:dyDescent="0.2">
      <c r="B3" s="287" t="s">
        <v>360</v>
      </c>
      <c r="L3" s="22"/>
    </row>
    <row r="4" spans="2:14" s="3" customFormat="1" ht="12.75" customHeight="1" x14ac:dyDescent="0.2">
      <c r="B4" s="10"/>
      <c r="L4" s="22"/>
    </row>
    <row r="5" spans="2:14" s="3" customFormat="1" ht="12.75" customHeight="1" x14ac:dyDescent="0.2">
      <c r="B5" s="10"/>
      <c r="D5" s="9"/>
      <c r="E5" s="9"/>
      <c r="F5" s="9"/>
      <c r="G5" s="9"/>
      <c r="H5" s="9"/>
      <c r="I5" s="9"/>
      <c r="J5" s="9"/>
      <c r="K5" s="9"/>
      <c r="L5" s="22"/>
    </row>
    <row r="6" spans="2:14" s="23" customFormat="1" ht="15" customHeight="1" x14ac:dyDescent="0.2">
      <c r="B6" s="63"/>
      <c r="C6" s="26" t="s">
        <v>138</v>
      </c>
      <c r="D6" s="931" t="str">
        <f>IF(Basisdaten!C8=0,"",Basisdaten!C8)</f>
        <v/>
      </c>
      <c r="E6" s="932"/>
      <c r="F6" s="932"/>
      <c r="G6" s="932"/>
      <c r="H6" s="932"/>
      <c r="I6" s="932"/>
      <c r="J6" s="932"/>
      <c r="K6" s="933"/>
      <c r="L6" s="22"/>
    </row>
    <row r="7" spans="2:14" s="23" customFormat="1" ht="6.95" customHeight="1" x14ac:dyDescent="0.2">
      <c r="B7" s="63"/>
      <c r="C7" s="5"/>
      <c r="D7" s="9"/>
      <c r="E7" s="9"/>
      <c r="F7" s="9"/>
      <c r="G7" s="9"/>
      <c r="H7" s="9"/>
      <c r="I7" s="9"/>
      <c r="J7" s="9"/>
      <c r="K7" s="9"/>
      <c r="L7" s="22"/>
    </row>
    <row r="8" spans="2:14" s="23" customFormat="1" ht="15" customHeight="1" x14ac:dyDescent="0.25">
      <c r="B8" s="63"/>
      <c r="C8" s="26" t="s">
        <v>83</v>
      </c>
      <c r="D8" s="864" t="str">
        <f>IF(Basisdaten!C6=0,"",Basisdaten!C6)</f>
        <v/>
      </c>
      <c r="E8" s="939"/>
      <c r="F8" s="940"/>
      <c r="G8" s="22"/>
      <c r="I8" s="4" t="s">
        <v>441</v>
      </c>
      <c r="K8" s="38" t="str">
        <f>IF(Basisdaten!M12=0,"",Basisdaten!M12)</f>
        <v/>
      </c>
      <c r="L8" s="22"/>
    </row>
    <row r="9" spans="2:14" s="3" customFormat="1" ht="15.75" customHeight="1" x14ac:dyDescent="0.2">
      <c r="B9" s="10"/>
      <c r="L9" s="22"/>
    </row>
    <row r="10" spans="2:14" s="3" customFormat="1" ht="15.75" customHeight="1" x14ac:dyDescent="0.2">
      <c r="B10" s="10"/>
      <c r="C10" s="311" t="str">
        <f ca="1">IF($N$11=TRUE,"Kein Datendefizit vorhanden","")</f>
        <v/>
      </c>
      <c r="L10" s="22"/>
      <c r="N10" s="303" t="s">
        <v>440</v>
      </c>
    </row>
    <row r="11" spans="2:14" s="3" customFormat="1" ht="15.75" customHeight="1" x14ac:dyDescent="0.2">
      <c r="B11" s="10"/>
      <c r="C11" s="284" t="str">
        <f ca="1">IF($N$11=TRUE,"","Übertragung erfolgt automatisch aus Kennzahlenbogen (Ist-Werte, Begründungen und Aktionen)")</f>
        <v>Übertragung erfolgt automatisch aus Kennzahlenbogen (Ist-Werte, Begründungen und Aktionen)</v>
      </c>
      <c r="L11" s="22"/>
      <c r="N11" s="302" t="b">
        <f t="array" aca="1" ref="N11" ca="1">$B$14:$L$43=""</f>
        <v>0</v>
      </c>
    </row>
    <row r="12" spans="2:14" ht="15" customHeight="1" x14ac:dyDescent="0.25">
      <c r="B12" s="934" t="str">
        <f ca="1">IF($N$11=TRUE,"","KN")</f>
        <v>KN</v>
      </c>
      <c r="C12" s="938" t="str">
        <f ca="1">IF($N$11=TRUE,"","Kennzahlendefinition")</f>
        <v>Kennzahlendefinition</v>
      </c>
      <c r="D12" s="938" t="str">
        <f ca="1">IF($N$11=TRUE,"","Vorgaben Datenqualität")</f>
        <v>Vorgaben Datenqualität</v>
      </c>
      <c r="E12" s="938"/>
      <c r="F12" s="938"/>
      <c r="G12" s="938" t="str">
        <f ca="1">IF($N$11=TRUE,"","Ist-Werte")</f>
        <v>Ist-Werte</v>
      </c>
      <c r="H12" s="938"/>
      <c r="I12" s="938"/>
      <c r="J12" s="936" t="str">
        <f ca="1">IF($N$11=TRUE,"","Daten-qualität")</f>
        <v>Daten-qualität</v>
      </c>
      <c r="K12" s="941" t="str">
        <f ca="1">IF($N$11=TRUE,"","Verifizierung Zentrum")</f>
        <v>Verifizierung Zentrum</v>
      </c>
      <c r="L12" s="941"/>
      <c r="N12" s="301"/>
    </row>
    <row r="13" spans="2:14" ht="22.5" customHeight="1" x14ac:dyDescent="0.25">
      <c r="B13" s="935"/>
      <c r="C13" s="937"/>
      <c r="D13" s="282" t="str">
        <f ca="1">IF($N$11=TRUE,"","Plausi unklar")</f>
        <v>Plausi unklar</v>
      </c>
      <c r="E13" s="282" t="str">
        <f ca="1">IF($N$11=TRUE,"","Sollvorgabe")</f>
        <v>Sollvorgabe</v>
      </c>
      <c r="F13" s="282" t="str">
        <f ca="1">IF($N$11=TRUE,"","Plausi unklar")</f>
        <v>Plausi unklar</v>
      </c>
      <c r="G13" s="282" t="str">
        <f ca="1">IF($N$11=TRUE,"","Zähler/ Anzahl")</f>
        <v>Zähler/ Anzahl</v>
      </c>
      <c r="H13" s="282" t="str">
        <f ca="1">IF($N$11=TRUE,"","Nenner")</f>
        <v>Nenner</v>
      </c>
      <c r="I13" s="282" t="str">
        <f ca="1">IF($N$11=TRUE,"","Quote")</f>
        <v>Quote</v>
      </c>
      <c r="J13" s="937"/>
      <c r="K13" s="369" t="str">
        <f ca="1">IF($N$11=TRUE,"","Begründung/ Ursache")</f>
        <v>Begründung/ Ursache</v>
      </c>
      <c r="L13" s="368" t="str">
        <f ca="1">IF($N$11=TRUE,"","Eingeleitete/ geplante Aktionen")</f>
        <v>Eingeleitete/ geplante Aktionen</v>
      </c>
    </row>
    <row r="14" spans="2:14" ht="170.25" customHeight="1" x14ac:dyDescent="0.25">
      <c r="B14" s="285" t="str">
        <f ca="1">'Hilfstabelle Datendef KB'!O2</f>
        <v>1a)</v>
      </c>
      <c r="C14" s="286" t="str">
        <f ca="1">'Hilfstabelle Datendef KB'!P2</f>
        <v xml:space="preserve">Anzahl Primärfälle Prostatakarzinom </v>
      </c>
      <c r="D14" s="295" t="str">
        <f ca="1">'Hilfstabelle Datendef KB'!Q2</f>
        <v>-----</v>
      </c>
      <c r="E14" s="295" t="str">
        <f ca="1">'Hilfstabelle Datendef KB'!R2</f>
        <v xml:space="preserve">≥ 100 </v>
      </c>
      <c r="F14" s="295" t="str">
        <f ca="1">'Hilfstabelle Datendef KB'!S2</f>
        <v>-----</v>
      </c>
      <c r="G14" s="285">
        <f ca="1">'Hilfstabelle Datendef KB'!T2</f>
        <v>0</v>
      </c>
      <c r="H14" s="285" t="str">
        <f ca="1">'Hilfstabelle Datendef KB'!U2</f>
        <v>-----</v>
      </c>
      <c r="I14" s="294" t="str">
        <f ca="1">'Hilfstabelle Datendef KB'!V2</f>
        <v>-----</v>
      </c>
      <c r="J14" s="285" t="str">
        <f ca="1">'Hilfstabelle Datendef KB'!W2</f>
        <v>Unvollständig</v>
      </c>
      <c r="K14" s="310" t="str">
        <f ca="1">'Hilfstabelle Datendef KB'!X2</f>
        <v>-----</v>
      </c>
      <c r="L14" s="286" t="str">
        <f ca="1">'Hilfstabelle Datendef KB'!Y2</f>
        <v>-----</v>
      </c>
    </row>
    <row r="15" spans="2:14" ht="170.25" customHeight="1" x14ac:dyDescent="0.25">
      <c r="B15" s="285" t="str">
        <f ca="1">'Hilfstabelle Datendef KB'!O3</f>
        <v>1b) 1</v>
      </c>
      <c r="C15" s="286" t="str">
        <f ca="1">'Hilfstabelle Datendef KB'!P3</f>
        <v>Aufteilung Primärfälle mit lokal begrenztem Prostatakarzinom - niedrigem Risiko</v>
      </c>
      <c r="D15" s="295" t="str">
        <f ca="1">'Hilfstabelle Datendef KB'!Q3</f>
        <v>-----</v>
      </c>
      <c r="E15" s="295" t="str">
        <f ca="1">'Hilfstabelle Datendef KB'!R3</f>
        <v>Derzeit keine
Vorgaben</v>
      </c>
      <c r="F15" s="295" t="str">
        <f ca="1">'Hilfstabelle Datendef KB'!S3</f>
        <v>-----</v>
      </c>
      <c r="G15" s="285">
        <f ca="1">'Hilfstabelle Datendef KB'!T3</f>
        <v>0</v>
      </c>
      <c r="H15" s="285" t="str">
        <f ca="1">'Hilfstabelle Datendef KB'!U3</f>
        <v>-----</v>
      </c>
      <c r="I15" s="294" t="str">
        <f ca="1">'Hilfstabelle Datendef KB'!V3</f>
        <v>-----</v>
      </c>
      <c r="J15" s="285" t="str">
        <f ca="1">'Hilfstabelle Datendef KB'!W3</f>
        <v>Unvollständig</v>
      </c>
      <c r="K15" s="310" t="str">
        <f ca="1">'Hilfstabelle Datendef KB'!X3</f>
        <v>-----</v>
      </c>
      <c r="L15" s="286" t="str">
        <f ca="1">'Hilfstabelle Datendef KB'!Y3</f>
        <v>-----</v>
      </c>
    </row>
    <row r="16" spans="2:14" ht="170.25" customHeight="1" x14ac:dyDescent="0.25">
      <c r="B16" s="285" t="str">
        <f ca="1">'Hilfstabelle Datendef KB'!O4</f>
        <v>1b) 2</v>
      </c>
      <c r="C16" s="286" t="str">
        <f ca="1">'Hilfstabelle Datendef KB'!P4</f>
        <v>Aufteilung Primärfälle mit lokal begrenztem Prostatakarzinom - mittlerem Risiko</v>
      </c>
      <c r="D16" s="295" t="str">
        <f ca="1">'Hilfstabelle Datendef KB'!Q4</f>
        <v>-----</v>
      </c>
      <c r="E16" s="295" t="str">
        <f ca="1">'Hilfstabelle Datendef KB'!R4</f>
        <v>Derzeit keine
Vorgaben</v>
      </c>
      <c r="F16" s="295" t="str">
        <f ca="1">'Hilfstabelle Datendef KB'!S4</f>
        <v>-----</v>
      </c>
      <c r="G16" s="285">
        <f ca="1">'Hilfstabelle Datendef KB'!T4</f>
        <v>0</v>
      </c>
      <c r="H16" s="285" t="str">
        <f ca="1">'Hilfstabelle Datendef KB'!U4</f>
        <v>-----</v>
      </c>
      <c r="I16" s="294" t="str">
        <f ca="1">'Hilfstabelle Datendef KB'!V4</f>
        <v>-----</v>
      </c>
      <c r="J16" s="285" t="str">
        <f ca="1">'Hilfstabelle Datendef KB'!W4</f>
        <v>Unvollständig</v>
      </c>
      <c r="K16" s="310" t="str">
        <f ca="1">'Hilfstabelle Datendef KB'!X4</f>
        <v>-----</v>
      </c>
      <c r="L16" s="286" t="str">
        <f ca="1">'Hilfstabelle Datendef KB'!Y4</f>
        <v>-----</v>
      </c>
    </row>
    <row r="17" spans="2:12" ht="170.25" customHeight="1" x14ac:dyDescent="0.25">
      <c r="B17" s="285" t="str">
        <f ca="1">'Hilfstabelle Datendef KB'!O5</f>
        <v>1b) 3</v>
      </c>
      <c r="C17" s="286" t="str">
        <f ca="1">'Hilfstabelle Datendef KB'!P5</f>
        <v>Aufteilung Primärfälle mit lokal begrenztem Prostatakarzinom - hohem Risiko</v>
      </c>
      <c r="D17" s="295" t="str">
        <f ca="1">'Hilfstabelle Datendef KB'!Q5</f>
        <v>-----</v>
      </c>
      <c r="E17" s="295" t="str">
        <f ca="1">'Hilfstabelle Datendef KB'!R5</f>
        <v>Derzeit keine
Vorgaben</v>
      </c>
      <c r="F17" s="295" t="str">
        <f ca="1">'Hilfstabelle Datendef KB'!S5</f>
        <v>-----</v>
      </c>
      <c r="G17" s="285">
        <f ca="1">'Hilfstabelle Datendef KB'!T5</f>
        <v>0</v>
      </c>
      <c r="H17" s="285" t="str">
        <f ca="1">'Hilfstabelle Datendef KB'!U5</f>
        <v>-----</v>
      </c>
      <c r="I17" s="294" t="str">
        <f ca="1">'Hilfstabelle Datendef KB'!V5</f>
        <v>-----</v>
      </c>
      <c r="J17" s="285" t="str">
        <f ca="1">'Hilfstabelle Datendef KB'!W5</f>
        <v>Unvollständig</v>
      </c>
      <c r="K17" s="310" t="str">
        <f ca="1">'Hilfstabelle Datendef KB'!X5</f>
        <v>-----</v>
      </c>
      <c r="L17" s="286" t="str">
        <f ca="1">'Hilfstabelle Datendef KB'!Y5</f>
        <v>-----</v>
      </c>
    </row>
    <row r="18" spans="2:12" ht="170.25" customHeight="1" x14ac:dyDescent="0.25">
      <c r="B18" s="285" t="str">
        <f ca="1">'Hilfstabelle Datendef KB'!O6</f>
        <v>1c)</v>
      </c>
      <c r="C18" s="286" t="str">
        <f ca="1">'Hilfstabelle Datendef KB'!P6</f>
        <v>Pat. mit neuaufgetretenem Rezidiv und/ oder 
Fernmetastasen</v>
      </c>
      <c r="D18" s="295" t="str">
        <f ca="1">'Hilfstabelle Datendef KB'!Q6</f>
        <v>-----</v>
      </c>
      <c r="E18" s="295" t="str">
        <f ca="1">'Hilfstabelle Datendef KB'!R6</f>
        <v>Derzeit keine
Vorgaben</v>
      </c>
      <c r="F18" s="295" t="str">
        <f ca="1">'Hilfstabelle Datendef KB'!S6</f>
        <v>-----</v>
      </c>
      <c r="G18" s="285">
        <f ca="1">'Hilfstabelle Datendef KB'!T6</f>
        <v>0</v>
      </c>
      <c r="H18" s="285" t="str">
        <f ca="1">'Hilfstabelle Datendef KB'!U6</f>
        <v>-----</v>
      </c>
      <c r="I18" s="294" t="str">
        <f ca="1">'Hilfstabelle Datendef KB'!V6</f>
        <v>-----</v>
      </c>
      <c r="J18" s="285" t="str">
        <f ca="1">'Hilfstabelle Datendef KB'!W6</f>
        <v>Unvollständig</v>
      </c>
      <c r="K18" s="310" t="str">
        <f ca="1">'Hilfstabelle Datendef KB'!X6</f>
        <v>-----</v>
      </c>
      <c r="L18" s="286" t="str">
        <f ca="1">'Hilfstabelle Datendef KB'!Y6</f>
        <v>-----</v>
      </c>
    </row>
    <row r="19" spans="2:12" ht="170.25" customHeight="1" x14ac:dyDescent="0.25">
      <c r="B19" s="285" t="str">
        <f ca="1">'Hilfstabelle Datendef KB'!O7</f>
        <v>2a</v>
      </c>
      <c r="C19" s="286" t="str">
        <f ca="1">'Hilfstabelle Datendef KB'!P7</f>
        <v>Vorstellung in der wöchentlichen prätherapeutischen Konferenz - Urologie</v>
      </c>
      <c r="D19" s="295" t="str">
        <f ca="1">'Hilfstabelle Datendef KB'!Q7</f>
        <v>-----</v>
      </c>
      <c r="E19" s="295" t="str">
        <f ca="1">'Hilfstabelle Datendef KB'!R7</f>
        <v>≥ 95%</v>
      </c>
      <c r="F19" s="295" t="str">
        <f ca="1">'Hilfstabelle Datendef KB'!S7</f>
        <v>-----</v>
      </c>
      <c r="G19" s="285" t="str">
        <f ca="1">'Hilfstabelle Datendef KB'!T7</f>
        <v>-----</v>
      </c>
      <c r="H19" s="285" t="str">
        <f ca="1">'Hilfstabelle Datendef KB'!U7</f>
        <v>-----</v>
      </c>
      <c r="I19" s="294" t="str">
        <f ca="1">'Hilfstabelle Datendef KB'!V7</f>
        <v>n.d.</v>
      </c>
      <c r="J19" s="285" t="str">
        <f ca="1">'Hilfstabelle Datendef KB'!W7</f>
        <v>Unvollständig</v>
      </c>
      <c r="K19" s="310" t="str">
        <f ca="1">'Hilfstabelle Datendef KB'!X7</f>
        <v>-----</v>
      </c>
      <c r="L19" s="286" t="str">
        <f ca="1">'Hilfstabelle Datendef KB'!Y7</f>
        <v>-----</v>
      </c>
    </row>
    <row r="20" spans="2:12" ht="170.25" customHeight="1" x14ac:dyDescent="0.25">
      <c r="B20" s="285" t="str">
        <f ca="1">'Hilfstabelle Datendef KB'!O8</f>
        <v>2b</v>
      </c>
      <c r="C20" s="286" t="str">
        <f ca="1">'Hilfstabelle Datendef KB'!P8</f>
        <v>Vorstellung in der wöchentlichen prätherapeutischen Konferenz - Strahlentherapie</v>
      </c>
      <c r="D20" s="295" t="str">
        <f ca="1">'Hilfstabelle Datendef KB'!Q8</f>
        <v>-----</v>
      </c>
      <c r="E20" s="295" t="str">
        <f ca="1">'Hilfstabelle Datendef KB'!R8</f>
        <v>≥ 95%</v>
      </c>
      <c r="F20" s="295" t="str">
        <f ca="1">'Hilfstabelle Datendef KB'!S8</f>
        <v>-----</v>
      </c>
      <c r="G20" s="285" t="str">
        <f ca="1">'Hilfstabelle Datendef KB'!T8</f>
        <v>-----</v>
      </c>
      <c r="H20" s="285" t="str">
        <f ca="1">'Hilfstabelle Datendef KB'!U8</f>
        <v>-----</v>
      </c>
      <c r="I20" s="294" t="str">
        <f ca="1">'Hilfstabelle Datendef KB'!V8</f>
        <v>n.d.</v>
      </c>
      <c r="J20" s="285" t="str">
        <f ca="1">'Hilfstabelle Datendef KB'!W8</f>
        <v>Unvollständig</v>
      </c>
      <c r="K20" s="310" t="str">
        <f ca="1">'Hilfstabelle Datendef KB'!X8</f>
        <v>-----</v>
      </c>
      <c r="L20" s="286" t="str">
        <f ca="1">'Hilfstabelle Datendef KB'!Y8</f>
        <v>-----</v>
      </c>
    </row>
    <row r="21" spans="2:12" ht="170.25" customHeight="1" x14ac:dyDescent="0.25">
      <c r="B21" s="285" t="str">
        <f ca="1">'Hilfstabelle Datendef KB'!O9</f>
        <v>3a</v>
      </c>
      <c r="C21" s="286" t="str">
        <f ca="1">'Hilfstabelle Datendef KB'!P9</f>
        <v>Vorstellung in der wöchentlichen Tumorkonferenz - Primärfälle &gt; pT3a u/o R1 u/o pN+</v>
      </c>
      <c r="D21" s="295" t="str">
        <f ca="1">'Hilfstabelle Datendef KB'!Q9</f>
        <v>-----</v>
      </c>
      <c r="E21" s="295" t="str">
        <f ca="1">'Hilfstabelle Datendef KB'!R9</f>
        <v>100%</v>
      </c>
      <c r="F21" s="295" t="str">
        <f ca="1">'Hilfstabelle Datendef KB'!S9</f>
        <v>-----</v>
      </c>
      <c r="G21" s="285" t="str">
        <f ca="1">'Hilfstabelle Datendef KB'!T9</f>
        <v>-----</v>
      </c>
      <c r="H21" s="285" t="str">
        <f ca="1">'Hilfstabelle Datendef KB'!U9</f>
        <v>-----</v>
      </c>
      <c r="I21" s="294" t="str">
        <f ca="1">'Hilfstabelle Datendef KB'!V9</f>
        <v>n.d.</v>
      </c>
      <c r="J21" s="285" t="str">
        <f ca="1">'Hilfstabelle Datendef KB'!W9</f>
        <v>Unvollständig</v>
      </c>
      <c r="K21" s="310" t="str">
        <f ca="1">'Hilfstabelle Datendef KB'!X9</f>
        <v>-----</v>
      </c>
      <c r="L21" s="286" t="str">
        <f ca="1">'Hilfstabelle Datendef KB'!Y9</f>
        <v>-----</v>
      </c>
    </row>
    <row r="22" spans="2:12" ht="170.25" customHeight="1" x14ac:dyDescent="0.25">
      <c r="B22" s="285" t="str">
        <f ca="1">'Hilfstabelle Datendef KB'!O10</f>
        <v>3b</v>
      </c>
      <c r="C22" s="286" t="str">
        <f ca="1">'Hilfstabelle Datendef KB'!P10</f>
        <v>Vorstellung in der wöchentlichen Tumorkonferenz - Primärfälle mit primär M1</v>
      </c>
      <c r="D22" s="295" t="str">
        <f ca="1">'Hilfstabelle Datendef KB'!Q10</f>
        <v>-----</v>
      </c>
      <c r="E22" s="295" t="str">
        <f ca="1">'Hilfstabelle Datendef KB'!R10</f>
        <v>100%</v>
      </c>
      <c r="F22" s="295" t="str">
        <f ca="1">'Hilfstabelle Datendef KB'!S10</f>
        <v>-----</v>
      </c>
      <c r="G22" s="285" t="str">
        <f ca="1">'Hilfstabelle Datendef KB'!T10</f>
        <v>-----</v>
      </c>
      <c r="H22" s="285" t="str">
        <f ca="1">'Hilfstabelle Datendef KB'!U10</f>
        <v>-----</v>
      </c>
      <c r="I22" s="294" t="str">
        <f ca="1">'Hilfstabelle Datendef KB'!V10</f>
        <v>n.d.</v>
      </c>
      <c r="J22" s="285" t="str">
        <f ca="1">'Hilfstabelle Datendef KB'!W10</f>
        <v>Unvollständig</v>
      </c>
      <c r="K22" s="310" t="str">
        <f ca="1">'Hilfstabelle Datendef KB'!X10</f>
        <v>-----</v>
      </c>
      <c r="L22" s="286" t="str">
        <f ca="1">'Hilfstabelle Datendef KB'!Y10</f>
        <v>-----</v>
      </c>
    </row>
    <row r="23" spans="2:12" ht="170.25" customHeight="1" x14ac:dyDescent="0.25">
      <c r="B23" s="285" t="str">
        <f ca="1">'Hilfstabelle Datendef KB'!O11</f>
        <v>3c</v>
      </c>
      <c r="C23" s="286" t="str">
        <f ca="1">'Hilfstabelle Datendef KB'!P11</f>
        <v>Vorstellung in der wöchentlichen Tumorkonferenz - Patienten mit neuaufgetretenem Rezidiv und/oder 
Fernmetastasen (= Kennzahl 1c)</v>
      </c>
      <c r="D23" s="295" t="str">
        <f ca="1">'Hilfstabelle Datendef KB'!Q11</f>
        <v>-----</v>
      </c>
      <c r="E23" s="295" t="str">
        <f ca="1">'Hilfstabelle Datendef KB'!R11</f>
        <v>100%</v>
      </c>
      <c r="F23" s="295" t="str">
        <f ca="1">'Hilfstabelle Datendef KB'!S11</f>
        <v>-----</v>
      </c>
      <c r="G23" s="285" t="str">
        <f ca="1">'Hilfstabelle Datendef KB'!T11</f>
        <v>-----</v>
      </c>
      <c r="H23" s="285">
        <f ca="1">'Hilfstabelle Datendef KB'!U11</f>
        <v>0</v>
      </c>
      <c r="I23" s="294" t="str">
        <f ca="1">'Hilfstabelle Datendef KB'!V11</f>
        <v>n.d.</v>
      </c>
      <c r="J23" s="285" t="str">
        <f ca="1">'Hilfstabelle Datendef KB'!W11</f>
        <v>Unvollständig</v>
      </c>
      <c r="K23" s="310" t="str">
        <f ca="1">'Hilfstabelle Datendef KB'!X11</f>
        <v>-----</v>
      </c>
      <c r="L23" s="286" t="str">
        <f ca="1">'Hilfstabelle Datendef KB'!Y11</f>
        <v>-----</v>
      </c>
    </row>
    <row r="24" spans="2:12" ht="170.25" customHeight="1" x14ac:dyDescent="0.25">
      <c r="B24" s="285">
        <f ca="1">'Hilfstabelle Datendef KB'!O12</f>
        <v>4</v>
      </c>
      <c r="C24" s="286" t="str">
        <f ca="1">'Hilfstabelle Datendef KB'!P12</f>
        <v>Active-Surveillance (AS)</v>
      </c>
      <c r="D24" s="295" t="str">
        <f ca="1">'Hilfstabelle Datendef KB'!Q12</f>
        <v>&lt; 0,01%</v>
      </c>
      <c r="E24" s="295" t="str">
        <f ca="1">'Hilfstabelle Datendef KB'!R12</f>
        <v>Derzeit keine
Vorgaben</v>
      </c>
      <c r="F24" s="295" t="str">
        <f ca="1">'Hilfstabelle Datendef KB'!S12</f>
        <v>-----</v>
      </c>
      <c r="G24" s="285">
        <f ca="1">'Hilfstabelle Datendef KB'!T12</f>
        <v>0</v>
      </c>
      <c r="H24" s="285">
        <f ca="1">'Hilfstabelle Datendef KB'!U12</f>
        <v>0</v>
      </c>
      <c r="I24" s="294" t="str">
        <f ca="1">'Hilfstabelle Datendef KB'!V12</f>
        <v>n.d.</v>
      </c>
      <c r="J24" s="285" t="str">
        <f ca="1">'Hilfstabelle Datendef KB'!W12</f>
        <v>Unvollständig</v>
      </c>
      <c r="K24" s="310" t="str">
        <f ca="1">'Hilfstabelle Datendef KB'!X12</f>
        <v>-----</v>
      </c>
      <c r="L24" s="286" t="str">
        <f ca="1">'Hilfstabelle Datendef KB'!Y12</f>
        <v>-----</v>
      </c>
    </row>
    <row r="25" spans="2:12" ht="170.25" customHeight="1" x14ac:dyDescent="0.25">
      <c r="B25" s="285">
        <f ca="1">'Hilfstabelle Datendef KB'!O13</f>
        <v>5</v>
      </c>
      <c r="C25" s="286" t="str">
        <f ca="1">'Hilfstabelle Datendef KB'!P13</f>
        <v>Strahlentherapie und hormonablative Therapie bei lokal begrenztem PCa mit hohem Risiko</v>
      </c>
      <c r="D25" s="295" t="str">
        <f ca="1">'Hilfstabelle Datendef KB'!Q13</f>
        <v>-----</v>
      </c>
      <c r="E25" s="295" t="str">
        <f ca="1">'Hilfstabelle Datendef KB'!R13</f>
        <v>≥ 70%</v>
      </c>
      <c r="F25" s="295" t="str">
        <f ca="1">'Hilfstabelle Datendef KB'!S13</f>
        <v>-----</v>
      </c>
      <c r="G25" s="285" t="str">
        <f ca="1">'Hilfstabelle Datendef KB'!T13</f>
        <v>-----</v>
      </c>
      <c r="H25" s="285">
        <f ca="1">'Hilfstabelle Datendef KB'!U13</f>
        <v>0</v>
      </c>
      <c r="I25" s="294" t="str">
        <f ca="1">'Hilfstabelle Datendef KB'!V13</f>
        <v>n.d.</v>
      </c>
      <c r="J25" s="285" t="str">
        <f ca="1">'Hilfstabelle Datendef KB'!W13</f>
        <v>Unvollständig</v>
      </c>
      <c r="K25" s="310" t="str">
        <f ca="1">'Hilfstabelle Datendef KB'!X13</f>
        <v>-----</v>
      </c>
      <c r="L25" s="286" t="str">
        <f ca="1">'Hilfstabelle Datendef KB'!Y13</f>
        <v>-----</v>
      </c>
    </row>
    <row r="26" spans="2:12" ht="170.25" customHeight="1" x14ac:dyDescent="0.25">
      <c r="B26" s="285" t="str">
        <f ca="1">'Hilfstabelle Datendef KB'!O14</f>
        <v xml:space="preserve">6
</v>
      </c>
      <c r="C26" s="286" t="str">
        <f ca="1">'Hilfstabelle Datendef KB'!P14</f>
        <v>Psychoonkologisches Distress-Screening</v>
      </c>
      <c r="D26" s="295" t="str">
        <f ca="1">'Hilfstabelle Datendef KB'!Q14</f>
        <v>-----</v>
      </c>
      <c r="E26" s="295" t="str">
        <f ca="1">'Hilfstabelle Datendef KB'!R14</f>
        <v>≥ 65%</v>
      </c>
      <c r="F26" s="295" t="str">
        <f ca="1">'Hilfstabelle Datendef KB'!S14</f>
        <v>-----</v>
      </c>
      <c r="G26" s="285" t="str">
        <f ca="1">'Hilfstabelle Datendef KB'!T14</f>
        <v>-----</v>
      </c>
      <c r="H26" s="285">
        <f ca="1">'Hilfstabelle Datendef KB'!U14</f>
        <v>0</v>
      </c>
      <c r="I26" s="294" t="str">
        <f ca="1">'Hilfstabelle Datendef KB'!V14</f>
        <v>n.d.</v>
      </c>
      <c r="J26" s="285" t="str">
        <f ca="1">'Hilfstabelle Datendef KB'!W14</f>
        <v>Unvollständig</v>
      </c>
      <c r="K26" s="310" t="str">
        <f ca="1">'Hilfstabelle Datendef KB'!X14</f>
        <v>-----</v>
      </c>
      <c r="L26" s="286" t="str">
        <f ca="1">'Hilfstabelle Datendef KB'!Y14</f>
        <v>-----</v>
      </c>
    </row>
    <row r="27" spans="2:12" ht="170.25" customHeight="1" x14ac:dyDescent="0.25">
      <c r="B27" s="285">
        <f ca="1">'Hilfstabelle Datendef KB'!O15</f>
        <v>7</v>
      </c>
      <c r="C27" s="286" t="str">
        <f ca="1">'Hilfstabelle Datendef KB'!P15</f>
        <v>Beratung Sozialdienst</v>
      </c>
      <c r="D27" s="295" t="str">
        <f ca="1">'Hilfstabelle Datendef KB'!Q15</f>
        <v>&lt; 50%</v>
      </c>
      <c r="E27" s="295" t="str">
        <f ca="1">'Hilfstabelle Datendef KB'!R15</f>
        <v>Derzeit keine
Vorgaben</v>
      </c>
      <c r="F27" s="295" t="str">
        <f ca="1">'Hilfstabelle Datendef KB'!S15</f>
        <v>-----</v>
      </c>
      <c r="G27" s="285" t="str">
        <f ca="1">'Hilfstabelle Datendef KB'!T15</f>
        <v>-----</v>
      </c>
      <c r="H27" s="285">
        <f ca="1">'Hilfstabelle Datendef KB'!U15</f>
        <v>0</v>
      </c>
      <c r="I27" s="294" t="str">
        <f ca="1">'Hilfstabelle Datendef KB'!V15</f>
        <v>n.d.</v>
      </c>
      <c r="J27" s="285" t="str">
        <f ca="1">'Hilfstabelle Datendef KB'!W15</f>
        <v>Unvollständig</v>
      </c>
      <c r="K27" s="310" t="str">
        <f ca="1">'Hilfstabelle Datendef KB'!X15</f>
        <v>-----</v>
      </c>
      <c r="L27" s="286" t="str">
        <f ca="1">'Hilfstabelle Datendef KB'!Y15</f>
        <v>-----</v>
      </c>
    </row>
    <row r="28" spans="2:12" ht="170.25" customHeight="1" x14ac:dyDescent="0.25">
      <c r="B28" s="285">
        <f ca="1">'Hilfstabelle Datendef KB'!O16</f>
        <v>8</v>
      </c>
      <c r="C28" s="286" t="str">
        <f ca="1">'Hilfstabelle Datendef KB'!P16</f>
        <v>Anteil Studienpat.</v>
      </c>
      <c r="D28" s="295" t="str">
        <f ca="1">'Hilfstabelle Datendef KB'!Q16</f>
        <v>-----</v>
      </c>
      <c r="E28" s="295" t="str">
        <f ca="1">'Hilfstabelle Datendef KB'!R16</f>
        <v>≥ 5%</v>
      </c>
      <c r="F28" s="295" t="str">
        <f ca="1">'Hilfstabelle Datendef KB'!S16</f>
        <v>-----</v>
      </c>
      <c r="G28" s="285">
        <f ca="1">'Hilfstabelle Datendef KB'!T16</f>
        <v>0</v>
      </c>
      <c r="H28" s="285">
        <f ca="1">'Hilfstabelle Datendef KB'!U16</f>
        <v>0</v>
      </c>
      <c r="I28" s="294" t="str">
        <f ca="1">'Hilfstabelle Datendef KB'!V16</f>
        <v>n.d.</v>
      </c>
      <c r="J28" s="285" t="str">
        <f ca="1">'Hilfstabelle Datendef KB'!W16</f>
        <v>Unvollständig</v>
      </c>
      <c r="K28" s="310" t="str">
        <f ca="1">'Hilfstabelle Datendef KB'!X16</f>
        <v>-----</v>
      </c>
      <c r="L28" s="286" t="str">
        <f ca="1">'Hilfstabelle Datendef KB'!Y16</f>
        <v>-----</v>
      </c>
    </row>
    <row r="29" spans="2:12" ht="170.25" customHeight="1" x14ac:dyDescent="0.25">
      <c r="B29" s="285">
        <f ca="1">'Hilfstabelle Datendef KB'!O17</f>
        <v>9</v>
      </c>
      <c r="C29" s="286" t="str">
        <f ca="1">'Hilfstabelle Datendef KB'!P17</f>
        <v>Operative Expertise</v>
      </c>
      <c r="D29" s="295" t="str">
        <f ca="1">'Hilfstabelle Datendef KB'!Q17</f>
        <v>-----</v>
      </c>
      <c r="E29" s="295" t="str">
        <f ca="1">'Hilfstabelle Datendef KB'!R17</f>
        <v>≥ 50</v>
      </c>
      <c r="F29" s="295" t="str">
        <f ca="1">'Hilfstabelle Datendef KB'!S17</f>
        <v>-----</v>
      </c>
      <c r="G29" s="285">
        <f ca="1">'Hilfstabelle Datendef KB'!T17</f>
        <v>0</v>
      </c>
      <c r="H29" s="285" t="str">
        <f ca="1">'Hilfstabelle Datendef KB'!U17</f>
        <v>-----</v>
      </c>
      <c r="I29" s="294" t="str">
        <f ca="1">'Hilfstabelle Datendef KB'!V17</f>
        <v>-----</v>
      </c>
      <c r="J29" s="285" t="str">
        <f ca="1">'Hilfstabelle Datendef KB'!W17</f>
        <v>Unvollständig</v>
      </c>
      <c r="K29" s="310" t="str">
        <f ca="1">'Hilfstabelle Datendef KB'!X17</f>
        <v>-----</v>
      </c>
      <c r="L29" s="286" t="str">
        <f ca="1">'Hilfstabelle Datendef KB'!Y17</f>
        <v>-----</v>
      </c>
    </row>
    <row r="30" spans="2:12" ht="170.25" customHeight="1" x14ac:dyDescent="0.25">
      <c r="B30" s="285">
        <f ca="1">'Hilfstabelle Datendef KB'!O18</f>
        <v>10</v>
      </c>
      <c r="C30" s="286" t="str">
        <f ca="1">'Hilfstabelle Datendef KB'!P18</f>
        <v>Erfassung der R1 Resektionen bei (y)pT2 c/pN0 oder Nx M0</v>
      </c>
      <c r="D30" s="295" t="str">
        <f ca="1">'Hilfstabelle Datendef KB'!Q18</f>
        <v>-----</v>
      </c>
      <c r="E30" s="295" t="str">
        <f ca="1">'Hilfstabelle Datendef KB'!R18</f>
        <v>≤ 15%</v>
      </c>
      <c r="F30" s="295" t="str">
        <f ca="1">'Hilfstabelle Datendef KB'!S18</f>
        <v>-----</v>
      </c>
      <c r="G30" s="285" t="str">
        <f ca="1">'Hilfstabelle Datendef KB'!T18</f>
        <v>-----</v>
      </c>
      <c r="H30" s="285" t="str">
        <f ca="1">'Hilfstabelle Datendef KB'!U18</f>
        <v>-----</v>
      </c>
      <c r="I30" s="294" t="str">
        <f ca="1">'Hilfstabelle Datendef KB'!V18</f>
        <v>n.d.</v>
      </c>
      <c r="J30" s="285" t="str">
        <f ca="1">'Hilfstabelle Datendef KB'!W18</f>
        <v>Unvollständig</v>
      </c>
      <c r="K30" s="310" t="str">
        <f ca="1">'Hilfstabelle Datendef KB'!X18</f>
        <v>-----</v>
      </c>
      <c r="L30" s="286" t="str">
        <f ca="1">'Hilfstabelle Datendef KB'!Y18</f>
        <v>-----</v>
      </c>
    </row>
    <row r="31" spans="2:12" ht="170.25" customHeight="1" x14ac:dyDescent="0.25">
      <c r="B31" s="285">
        <f ca="1">'Hilfstabelle Datendef KB'!O19</f>
        <v>11</v>
      </c>
      <c r="C31" s="286" t="str">
        <f ca="1">'Hilfstabelle Datendef KB'!P19</f>
        <v>Definitive Strahlentherapie</v>
      </c>
      <c r="D31" s="295" t="str">
        <f ca="1">'Hilfstabelle Datendef KB'!Q19</f>
        <v>&lt; 10%</v>
      </c>
      <c r="E31" s="295" t="str">
        <f ca="1">'Hilfstabelle Datendef KB'!R19</f>
        <v>Derzeit keine
Vorgaben</v>
      </c>
      <c r="F31" s="295" t="str">
        <f ca="1">'Hilfstabelle Datendef KB'!S19</f>
        <v>&gt; 90%</v>
      </c>
      <c r="G31" s="285">
        <f ca="1">'Hilfstabelle Datendef KB'!T19</f>
        <v>0</v>
      </c>
      <c r="H31" s="285">
        <f ca="1">'Hilfstabelle Datendef KB'!U19</f>
        <v>0</v>
      </c>
      <c r="I31" s="294" t="str">
        <f ca="1">'Hilfstabelle Datendef KB'!V19</f>
        <v>n.d.</v>
      </c>
      <c r="J31" s="285" t="str">
        <f ca="1">'Hilfstabelle Datendef KB'!W19</f>
        <v>Unvollständig</v>
      </c>
      <c r="K31" s="310" t="str">
        <f ca="1">'Hilfstabelle Datendef KB'!X19</f>
        <v>-----</v>
      </c>
      <c r="L31" s="286" t="str">
        <f ca="1">'Hilfstabelle Datendef KB'!Y19</f>
        <v>-----</v>
      </c>
    </row>
    <row r="32" spans="2:12" ht="170.25" customHeight="1" x14ac:dyDescent="0.25">
      <c r="B32" s="285">
        <f ca="1">'Hilfstabelle Datendef KB'!O20</f>
        <v>12</v>
      </c>
      <c r="C32" s="286" t="str">
        <f ca="1">'Hilfstabelle Datendef KB'!P20</f>
        <v xml:space="preserve">Permanente Seedimplantation – 
D 90 &gt; 130 Gy
* Durchführung dieser Therapieform ist freiwillig!    </v>
      </c>
      <c r="D32" s="295" t="str">
        <f ca="1">'Hilfstabelle Datendef KB'!Q20</f>
        <v>-----</v>
      </c>
      <c r="E32" s="295" t="str">
        <f ca="1">'Hilfstabelle Datendef KB'!R20</f>
        <v>≥ 90%</v>
      </c>
      <c r="F32" s="295" t="str">
        <f ca="1">'Hilfstabelle Datendef KB'!S20</f>
        <v>-----</v>
      </c>
      <c r="G32" s="285" t="str">
        <f ca="1">'Hilfstabelle Datendef KB'!T20</f>
        <v>-----</v>
      </c>
      <c r="H32" s="285" t="str">
        <f ca="1">'Hilfstabelle Datendef KB'!U20</f>
        <v>-----</v>
      </c>
      <c r="I32" s="294" t="str">
        <f ca="1">'Hilfstabelle Datendef KB'!V20</f>
        <v>n.d.</v>
      </c>
      <c r="J32" s="285" t="str">
        <f ca="1">'Hilfstabelle Datendef KB'!W20</f>
        <v>Unvollständig</v>
      </c>
      <c r="K32" s="310" t="str">
        <f ca="1">'Hilfstabelle Datendef KB'!X20</f>
        <v>-----</v>
      </c>
      <c r="L32" s="286" t="str">
        <f ca="1">'Hilfstabelle Datendef KB'!Y20</f>
        <v>-----</v>
      </c>
    </row>
    <row r="33" spans="2:12" ht="170.25" customHeight="1" x14ac:dyDescent="0.25">
      <c r="B33" s="285">
        <f ca="1">'Hilfstabelle Datendef KB'!O21</f>
        <v>13</v>
      </c>
      <c r="C33" s="286" t="str">
        <f ca="1">'Hilfstabelle Datendef KB'!P21</f>
        <v>HDR-Brachytherapie
* Durchführung dieser Therapieform ist freiwillig!</v>
      </c>
      <c r="D33" s="295" t="str">
        <f ca="1">'Hilfstabelle Datendef KB'!Q21</f>
        <v>-----</v>
      </c>
      <c r="E33" s="295" t="str">
        <f ca="1">'Hilfstabelle Datendef KB'!R21</f>
        <v>Derzeit keine
Vorgaben</v>
      </c>
      <c r="F33" s="295" t="str">
        <f ca="1">'Hilfstabelle Datendef KB'!S21</f>
        <v>-----</v>
      </c>
      <c r="G33" s="285">
        <f ca="1">'Hilfstabelle Datendef KB'!T21</f>
        <v>0</v>
      </c>
      <c r="H33" s="285">
        <f ca="1">'Hilfstabelle Datendef KB'!U21</f>
        <v>0</v>
      </c>
      <c r="I33" s="294" t="str">
        <f ca="1">'Hilfstabelle Datendef KB'!V21</f>
        <v>n.d.</v>
      </c>
      <c r="J33" s="285" t="str">
        <f ca="1">'Hilfstabelle Datendef KB'!W21</f>
        <v>Unvollständig</v>
      </c>
      <c r="K33" s="310" t="str">
        <f ca="1">'Hilfstabelle Datendef KB'!X21</f>
        <v>-----</v>
      </c>
      <c r="L33" s="286" t="str">
        <f ca="1">'Hilfstabelle Datendef KB'!Y21</f>
        <v>-----</v>
      </c>
    </row>
    <row r="34" spans="2:12" ht="170.25" customHeight="1" x14ac:dyDescent="0.25">
      <c r="B34" s="285">
        <f ca="1">'Hilfstabelle Datendef KB'!O22</f>
        <v>14</v>
      </c>
      <c r="C34" s="286" t="str">
        <f ca="1">'Hilfstabelle Datendef KB'!P22</f>
        <v>Befundbericht Stanzbiopsie</v>
      </c>
      <c r="D34" s="295" t="str">
        <f ca="1">'Hilfstabelle Datendef KB'!Q22</f>
        <v>-----</v>
      </c>
      <c r="E34" s="295" t="str">
        <f ca="1">'Hilfstabelle Datendef KB'!R22</f>
        <v>≥ 90%</v>
      </c>
      <c r="F34" s="295" t="str">
        <f ca="1">'Hilfstabelle Datendef KB'!S22</f>
        <v>-----</v>
      </c>
      <c r="G34" s="285" t="str">
        <f ca="1">'Hilfstabelle Datendef KB'!T22</f>
        <v>-----</v>
      </c>
      <c r="H34" s="285" t="str">
        <f ca="1">'Hilfstabelle Datendef KB'!U22</f>
        <v>-----</v>
      </c>
      <c r="I34" s="294" t="str">
        <f ca="1">'Hilfstabelle Datendef KB'!V22</f>
        <v>n.d.</v>
      </c>
      <c r="J34" s="285" t="str">
        <f ca="1">'Hilfstabelle Datendef KB'!W22</f>
        <v>Unvollständig</v>
      </c>
      <c r="K34" s="310" t="str">
        <f ca="1">'Hilfstabelle Datendef KB'!X22</f>
        <v>-----</v>
      </c>
      <c r="L34" s="286" t="str">
        <f ca="1">'Hilfstabelle Datendef KB'!Y22</f>
        <v>-----</v>
      </c>
    </row>
    <row r="35" spans="2:12" ht="170.25" customHeight="1" x14ac:dyDescent="0.25">
      <c r="B35" s="285">
        <f ca="1">'Hilfstabelle Datendef KB'!O23</f>
        <v>15</v>
      </c>
      <c r="C35" s="286" t="str">
        <f ca="1">'Hilfstabelle Datendef KB'!P23</f>
        <v>Befundbericht Lymphknoten</v>
      </c>
      <c r="D35" s="295" t="str">
        <f ca="1">'Hilfstabelle Datendef KB'!Q23</f>
        <v>-----</v>
      </c>
      <c r="E35" s="295" t="str">
        <f ca="1">'Hilfstabelle Datendef KB'!R23</f>
        <v>≥ 80%</v>
      </c>
      <c r="F35" s="295" t="str">
        <f ca="1">'Hilfstabelle Datendef KB'!S23</f>
        <v>-----</v>
      </c>
      <c r="G35" s="285" t="str">
        <f ca="1">'Hilfstabelle Datendef KB'!T23</f>
        <v>-----</v>
      </c>
      <c r="H35" s="285" t="str">
        <f ca="1">'Hilfstabelle Datendef KB'!U23</f>
        <v>-----</v>
      </c>
      <c r="I35" s="294" t="str">
        <f ca="1">'Hilfstabelle Datendef KB'!V23</f>
        <v>n.d.</v>
      </c>
      <c r="J35" s="285" t="str">
        <f ca="1">'Hilfstabelle Datendef KB'!W23</f>
        <v>Unvollständig</v>
      </c>
      <c r="K35" s="310" t="str">
        <f ca="1">'Hilfstabelle Datendef KB'!X23</f>
        <v>-----</v>
      </c>
      <c r="L35" s="286" t="str">
        <f ca="1">'Hilfstabelle Datendef KB'!Y23</f>
        <v>-----</v>
      </c>
    </row>
    <row r="36" spans="2:12" ht="170.25" customHeight="1" x14ac:dyDescent="0.25">
      <c r="B36" s="285">
        <f ca="1">'Hilfstabelle Datendef KB'!O24</f>
        <v>16</v>
      </c>
      <c r="C36" s="286" t="str">
        <f ca="1">'Hilfstabelle Datendef KB'!P24</f>
        <v>Beginn Salvage-Radiotherapie bei rezidiviertem PCa</v>
      </c>
      <c r="D36" s="295" t="str">
        <f ca="1">'Hilfstabelle Datendef KB'!Q24</f>
        <v>-----</v>
      </c>
      <c r="E36" s="295" t="str">
        <f ca="1">'Hilfstabelle Datendef KB'!R24</f>
        <v>≥ 70%</v>
      </c>
      <c r="F36" s="295" t="str">
        <f ca="1">'Hilfstabelle Datendef KB'!S24</f>
        <v>-----</v>
      </c>
      <c r="G36" s="285" t="str">
        <f ca="1">'Hilfstabelle Datendef KB'!T24</f>
        <v>-----</v>
      </c>
      <c r="H36" s="285" t="str">
        <f ca="1">'Hilfstabelle Datendef KB'!U24</f>
        <v>-----</v>
      </c>
      <c r="I36" s="294" t="str">
        <f ca="1">'Hilfstabelle Datendef KB'!V24</f>
        <v>n.d.</v>
      </c>
      <c r="J36" s="285" t="str">
        <f ca="1">'Hilfstabelle Datendef KB'!W24</f>
        <v>Unvollständig</v>
      </c>
      <c r="K36" s="310" t="str">
        <f ca="1">'Hilfstabelle Datendef KB'!X24</f>
        <v>-----</v>
      </c>
      <c r="L36" s="286" t="str">
        <f ca="1">'Hilfstabelle Datendef KB'!Y24</f>
        <v>-----</v>
      </c>
    </row>
    <row r="37" spans="2:12" ht="170.25" customHeight="1" x14ac:dyDescent="0.25">
      <c r="B37" s="285">
        <f ca="1">'Hilfstabelle Datendef KB'!O25</f>
        <v>17</v>
      </c>
      <c r="C37" s="286" t="str">
        <f ca="1">'Hilfstabelle Datendef KB'!P25</f>
        <v>Postoperative Komplikationen nach Radikaler Prostatektomie</v>
      </c>
      <c r="D37" s="295" t="str">
        <f ca="1">'Hilfstabelle Datendef KB'!Q25</f>
        <v>-----</v>
      </c>
      <c r="E37" s="295" t="str">
        <f ca="1">'Hilfstabelle Datendef KB'!R25</f>
        <v>≤ 15%</v>
      </c>
      <c r="F37" s="295" t="str">
        <f ca="1">'Hilfstabelle Datendef KB'!S25</f>
        <v>-----</v>
      </c>
      <c r="G37" s="285" t="str">
        <f ca="1">'Hilfstabelle Datendef KB'!T25</f>
        <v>-----</v>
      </c>
      <c r="H37" s="285" t="str">
        <f ca="1">'Hilfstabelle Datendef KB'!U25</f>
        <v>-----</v>
      </c>
      <c r="I37" s="294" t="str">
        <f ca="1">'Hilfstabelle Datendef KB'!V25</f>
        <v>n.d.</v>
      </c>
      <c r="J37" s="285" t="str">
        <f ca="1">'Hilfstabelle Datendef KB'!W25</f>
        <v>Unvollständig</v>
      </c>
      <c r="K37" s="310" t="str">
        <f ca="1">'Hilfstabelle Datendef KB'!X25</f>
        <v>-----</v>
      </c>
      <c r="L37" s="286" t="str">
        <f ca="1">'Hilfstabelle Datendef KB'!Y25</f>
        <v>-----</v>
      </c>
    </row>
    <row r="38" spans="2:12" ht="170.25" customHeight="1" x14ac:dyDescent="0.25">
      <c r="B38" s="285">
        <f ca="1">'Hilfstabelle Datendef KB'!O26</f>
        <v>18</v>
      </c>
      <c r="C38" s="286" t="str">
        <f ca="1">'Hilfstabelle Datendef KB'!P26</f>
        <v>Unerwünschte Wirkungen nach Strahlentherapie</v>
      </c>
      <c r="D38" s="295" t="str">
        <f ca="1">'Hilfstabelle Datendef KB'!Q26</f>
        <v>-----</v>
      </c>
      <c r="E38" s="295" t="str">
        <f ca="1">'Hilfstabelle Datendef KB'!R26</f>
        <v>≤ 3,5%</v>
      </c>
      <c r="F38" s="295" t="str">
        <f ca="1">'Hilfstabelle Datendef KB'!S26</f>
        <v>-----</v>
      </c>
      <c r="G38" s="285" t="str">
        <f ca="1">'Hilfstabelle Datendef KB'!T26</f>
        <v>-----</v>
      </c>
      <c r="H38" s="285" t="str">
        <f ca="1">'Hilfstabelle Datendef KB'!U26</f>
        <v>-----</v>
      </c>
      <c r="I38" s="294" t="str">
        <f ca="1">'Hilfstabelle Datendef KB'!V26</f>
        <v>n.d.</v>
      </c>
      <c r="J38" s="285" t="str">
        <f ca="1">'Hilfstabelle Datendef KB'!W26</f>
        <v>Unvollständig</v>
      </c>
      <c r="K38" s="310" t="str">
        <f ca="1">'Hilfstabelle Datendef KB'!X26</f>
        <v>-----</v>
      </c>
      <c r="L38" s="286" t="str">
        <f ca="1">'Hilfstabelle Datendef KB'!Y26</f>
        <v>-----</v>
      </c>
    </row>
    <row r="39" spans="2:12" ht="170.25" customHeight="1" x14ac:dyDescent="0.25">
      <c r="B39" s="285">
        <f ca="1">'Hilfstabelle Datendef KB'!O27</f>
        <v>19</v>
      </c>
      <c r="C39" s="286" t="str">
        <f ca="1">'Hilfstabelle Datendef KB'!P27</f>
        <v>Zahnärztliche Untersuchung 
vor Beginn der Bisphosphonat oder Denosumab-Therapie</v>
      </c>
      <c r="D39" s="295" t="str">
        <f ca="1">'Hilfstabelle Datendef KB'!Q27</f>
        <v>-----</v>
      </c>
      <c r="E39" s="295" t="str">
        <f ca="1">'Hilfstabelle Datendef KB'!R27</f>
        <v>≥ 90%</v>
      </c>
      <c r="F39" s="295" t="str">
        <f ca="1">'Hilfstabelle Datendef KB'!S27</f>
        <v>-----</v>
      </c>
      <c r="G39" s="285" t="str">
        <f ca="1">'Hilfstabelle Datendef KB'!T27</f>
        <v>-----</v>
      </c>
      <c r="H39" s="285" t="str">
        <f ca="1">'Hilfstabelle Datendef KB'!U27</f>
        <v>-----</v>
      </c>
      <c r="I39" s="294" t="str">
        <f ca="1">'Hilfstabelle Datendef KB'!V27</f>
        <v>n.d.</v>
      </c>
      <c r="J39" s="285" t="str">
        <f ca="1">'Hilfstabelle Datendef KB'!W27</f>
        <v>Unvollständig</v>
      </c>
      <c r="K39" s="310" t="str">
        <f ca="1">'Hilfstabelle Datendef KB'!X27</f>
        <v>-----</v>
      </c>
      <c r="L39" s="286" t="str">
        <f ca="1">'Hilfstabelle Datendef KB'!Y27</f>
        <v>-----</v>
      </c>
    </row>
    <row r="40" spans="2:12" ht="170.25" customHeight="1" x14ac:dyDescent="0.25">
      <c r="B40" s="285">
        <f ca="1">'Hilfstabelle Datendef KB'!O28</f>
        <v>20</v>
      </c>
      <c r="C40" s="286" t="str">
        <f ca="1">'Hilfstabelle Datendef KB'!P28</f>
        <v>Keine hormonablative Therapie bei lokal fortgeschrittenem Prostatakarzinom mit radikaler Prostatektomie</v>
      </c>
      <c r="D40" s="295" t="str">
        <f ca="1">'Hilfstabelle Datendef KB'!Q28</f>
        <v>-----</v>
      </c>
      <c r="E40" s="295" t="str">
        <f ca="1">'Hilfstabelle Datendef KB'!R28</f>
        <v>&lt; 0,1%</v>
      </c>
      <c r="F40" s="295" t="str">
        <f ca="1">'Hilfstabelle Datendef KB'!S28</f>
        <v>-----</v>
      </c>
      <c r="G40" s="285" t="str">
        <f ca="1">'Hilfstabelle Datendef KB'!T28</f>
        <v>-----</v>
      </c>
      <c r="H40" s="285" t="str">
        <f ca="1">'Hilfstabelle Datendef KB'!U28</f>
        <v>-----</v>
      </c>
      <c r="I40" s="294" t="str">
        <f ca="1">'Hilfstabelle Datendef KB'!V28</f>
        <v>n.d.</v>
      </c>
      <c r="J40" s="285" t="str">
        <f ca="1">'Hilfstabelle Datendef KB'!W28</f>
        <v>Unvollständig</v>
      </c>
      <c r="K40" s="310" t="str">
        <f ca="1">'Hilfstabelle Datendef KB'!X28</f>
        <v>-----</v>
      </c>
      <c r="L40" s="286" t="str">
        <f ca="1">'Hilfstabelle Datendef KB'!Y28</f>
        <v>-----</v>
      </c>
    </row>
    <row r="41" spans="2:12" ht="170.25" customHeight="1" x14ac:dyDescent="0.25">
      <c r="B41" s="285">
        <f ca="1">'Hilfstabelle Datendef KB'!O29</f>
        <v>21</v>
      </c>
      <c r="C41" s="286" t="str">
        <f ca="1">'Hilfstabelle Datendef KB'!P29</f>
        <v>Fokale Therapie bei lokal fortgeschrittenem Prostatakarzinom</v>
      </c>
      <c r="D41" s="295" t="str">
        <f ca="1">'Hilfstabelle Datendef KB'!Q29</f>
        <v>-----</v>
      </c>
      <c r="E41" s="295" t="str">
        <f ca="1">'Hilfstabelle Datendef KB'!R29</f>
        <v>&lt; 0,1%</v>
      </c>
      <c r="F41" s="295" t="str">
        <f ca="1">'Hilfstabelle Datendef KB'!S29</f>
        <v>-----</v>
      </c>
      <c r="G41" s="285" t="str">
        <f ca="1">'Hilfstabelle Datendef KB'!T29</f>
        <v>-----</v>
      </c>
      <c r="H41" s="285" t="str">
        <f ca="1">'Hilfstabelle Datendef KB'!U29</f>
        <v>-----</v>
      </c>
      <c r="I41" s="294" t="str">
        <f ca="1">'Hilfstabelle Datendef KB'!V29</f>
        <v>n.d.</v>
      </c>
      <c r="J41" s="285" t="str">
        <f ca="1">'Hilfstabelle Datendef KB'!W29</f>
        <v>Unvollständig</v>
      </c>
      <c r="K41" s="310" t="str">
        <f ca="1">'Hilfstabelle Datendef KB'!X29</f>
        <v>-----</v>
      </c>
      <c r="L41" s="286" t="str">
        <f ca="1">'Hilfstabelle Datendef KB'!Y29</f>
        <v>-----</v>
      </c>
    </row>
    <row r="42" spans="2:12" ht="170.25" customHeight="1" x14ac:dyDescent="0.25">
      <c r="B42" s="285">
        <f ca="1">'Hilfstabelle Datendef KB'!O30</f>
        <v>22</v>
      </c>
      <c r="C42" s="286" t="str">
        <f ca="1">'Hilfstabelle Datendef KB'!P30</f>
        <v>Anteil lokal begrenztes PCa u. niedriges Risiko bei RPE/RZE</v>
      </c>
      <c r="D42" s="295" t="str">
        <f ca="1">'Hilfstabelle Datendef KB'!Q30</f>
        <v>-----</v>
      </c>
      <c r="E42" s="295" t="str">
        <f ca="1">'Hilfstabelle Datendef KB'!R30</f>
        <v>Derzeit keine
Vorgaben</v>
      </c>
      <c r="F42" s="295" t="str">
        <f ca="1">'Hilfstabelle Datendef KB'!S30</f>
        <v>-----</v>
      </c>
      <c r="G42" s="285">
        <f ca="1">'Hilfstabelle Datendef KB'!T30</f>
        <v>0</v>
      </c>
      <c r="H42" s="285">
        <f ca="1">'Hilfstabelle Datendef KB'!U30</f>
        <v>0</v>
      </c>
      <c r="I42" s="294" t="str">
        <f ca="1">'Hilfstabelle Datendef KB'!V30</f>
        <v>n.d.</v>
      </c>
      <c r="J42" s="285" t="str">
        <f ca="1">'Hilfstabelle Datendef KB'!W30</f>
        <v>Unvollständig</v>
      </c>
      <c r="K42" s="310" t="str">
        <f ca="1">'Hilfstabelle Datendef KB'!X30</f>
        <v>-----</v>
      </c>
      <c r="L42" s="286" t="str">
        <f ca="1">'Hilfstabelle Datendef KB'!Y30</f>
        <v>-----</v>
      </c>
    </row>
    <row r="43" spans="2:12" ht="170.25" customHeight="1" x14ac:dyDescent="0.25">
      <c r="B43" s="285">
        <f ca="1">'Hilfstabelle Datendef KB'!O31</f>
        <v>23</v>
      </c>
      <c r="C43" s="286" t="str">
        <f ca="1">'Hilfstabelle Datendef KB'!P31</f>
        <v>RPE/RZE bei Primärfällen mit lokal begrenztem PCa u. niedrigem Risiko</v>
      </c>
      <c r="D43" s="295" t="str">
        <f ca="1">'Hilfstabelle Datendef KB'!Q31</f>
        <v>-----</v>
      </c>
      <c r="E43" s="295" t="str">
        <f ca="1">'Hilfstabelle Datendef KB'!R31</f>
        <v>Derzeit keine
Vorgaben</v>
      </c>
      <c r="F43" s="295" t="str">
        <f ca="1">'Hilfstabelle Datendef KB'!S31</f>
        <v>-----</v>
      </c>
      <c r="G43" s="285">
        <f ca="1">'Hilfstabelle Datendef KB'!T31</f>
        <v>0</v>
      </c>
      <c r="H43" s="285">
        <f ca="1">'Hilfstabelle Datendef KB'!U31</f>
        <v>0</v>
      </c>
      <c r="I43" s="294" t="str">
        <f ca="1">'Hilfstabelle Datendef KB'!V31</f>
        <v>n.d.</v>
      </c>
      <c r="J43" s="285" t="str">
        <f ca="1">'Hilfstabelle Datendef KB'!W31</f>
        <v>Unvollständig</v>
      </c>
      <c r="K43" s="310" t="str">
        <f ca="1">'Hilfstabelle Datendef KB'!X31</f>
        <v>-----</v>
      </c>
      <c r="L43" s="286" t="str">
        <f ca="1">'Hilfstabelle Datendef KB'!Y31</f>
        <v>-----</v>
      </c>
    </row>
  </sheetData>
  <sheetProtection algorithmName="SHA-512" hashValue="+KrFJenMOh3QNsgke5upstl2xYxVGcGH/RcERR8h+I8XD3IS9Xw0CjokMvgHVNU0d8a3krpsGEkT4kYvSFHeeA==" saltValue="EGQZAcO3Jae85YW/HyGE5Q=="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8">
    <mergeCell ref="D6:K6"/>
    <mergeCell ref="B12:B13"/>
    <mergeCell ref="J12:J13"/>
    <mergeCell ref="C12:C13"/>
    <mergeCell ref="D8:F8"/>
    <mergeCell ref="D12:F12"/>
    <mergeCell ref="G12:I12"/>
    <mergeCell ref="K12:L12"/>
  </mergeCells>
  <phoneticPr fontId="41" type="noConversion"/>
  <conditionalFormatting sqref="B14:I43 K14:L43">
    <cfRule type="notContainsBlanks" dxfId="98" priority="27" stopIfTrue="1">
      <formula>LEN(TRIM(B14))&gt;0</formula>
    </cfRule>
  </conditionalFormatting>
  <conditionalFormatting sqref="B12:J13">
    <cfRule type="expression" dxfId="97" priority="2" stopIfTrue="1">
      <formula>$C$10="Kein Datendefizit vorhanden"</formula>
    </cfRule>
  </conditionalFormatting>
  <conditionalFormatting sqref="J14:J43">
    <cfRule type="expression" dxfId="96" priority="1">
      <formula>AND($J14&lt;&gt;"",$J14="Ausnahme (Plausibilität unklar)")</formula>
    </cfRule>
    <cfRule type="expression" dxfId="95" priority="3" stopIfTrue="1">
      <formula>AND($J14&lt;&gt;"",$J14="Sollvorgabe nicht erfüllt")</formula>
    </cfRule>
    <cfRule type="expression" dxfId="94" priority="4" stopIfTrue="1">
      <formula>AND($J14&lt;&gt;"",$J14="I.O. (Plausibilität unklar)")</formula>
    </cfRule>
    <cfRule type="expression" dxfId="93" priority="15" stopIfTrue="1">
      <formula>OR(AND($J14&lt;&gt;"",$J14="Unvollständig"),AND($J14&lt;&gt;"",$J14="Inkorrekt"))</formula>
    </cfRule>
    <cfRule type="expression" dxfId="92" priority="28" stopIfTrue="1">
      <formula>AND($J14&lt;&gt;"",$J14="optional - Sollvorgabe nicht erfüllt")</formula>
    </cfRule>
    <cfRule type="expression" dxfId="91" priority="29" stopIfTrue="1">
      <formula>AND($J14&lt;&gt;"",$J14="optional - I.O. (Plausibilität unklar)")</formula>
    </cfRule>
    <cfRule type="expression" dxfId="90" priority="30" stopIfTrue="1">
      <formula>AND($J14&lt;&gt;"",$J14="optional - Unvollständig")</formula>
    </cfRule>
  </conditionalFormatting>
  <conditionalFormatting sqref="J36:J37">
    <cfRule type="expression" dxfId="89" priority="2940">
      <formula>AND($J34&lt;&gt;"",$J34="Ausnahme (Plausibilität unklar)")</formula>
    </cfRule>
  </conditionalFormatting>
  <conditionalFormatting sqref="J38:J43">
    <cfRule type="expression" dxfId="88" priority="2941">
      <formula>AND(#REF!&lt;&gt;"",#REF!="Ausnahme (Plausibilität unklar)")</formula>
    </cfRule>
  </conditionalFormatting>
  <conditionalFormatting sqref="K12:K13">
    <cfRule type="expression" dxfId="87" priority="13" stopIfTrue="1">
      <formula>$C$10="Kein Datendefizit vorhanden"</formula>
    </cfRule>
  </conditionalFormatting>
  <conditionalFormatting sqref="K12:L12">
    <cfRule type="expression" dxfId="86" priority="5" stopIfTrue="1">
      <formula>K12&lt;&gt;""</formula>
    </cfRule>
  </conditionalFormatting>
  <conditionalFormatting sqref="L13">
    <cfRule type="expression" dxfId="85" priority="12" stopIfTrue="1">
      <formula>$C$10="Kein Datendefizit vorhanden"</formula>
    </cfRule>
  </conditionalFormatting>
  <pageMargins left="0.39370078740157483" right="3.937007874015748E-2" top="0.59055118110236227" bottom="0.39370078740157483" header="0.31496062992125984" footer="0.11811023622047245"/>
  <pageSetup paperSize="9" scale="98"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2" manualBreakCount="2">
    <brk id="15" min="1" max="11" man="1"/>
    <brk id="18" min="1" max="11" man="1"/>
  </rowBreaks>
  <ignoredErrors>
    <ignoredError sqref="E13" formula="1"/>
  </ignoredErrors>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dimension ref="A1:Y31"/>
  <sheetViews>
    <sheetView workbookViewId="0">
      <selection activeCell="F6" sqref="F6"/>
    </sheetView>
  </sheetViews>
  <sheetFormatPr defaultColWidth="11.42578125" defaultRowHeight="11.25" x14ac:dyDescent="0.25"/>
  <cols>
    <col min="1" max="1" width="22.42578125" style="478" customWidth="1"/>
    <col min="2" max="2" width="9.140625" style="478" customWidth="1"/>
    <col min="3" max="3" width="7.5703125" style="482" customWidth="1"/>
    <col min="4" max="4" width="29.85546875" style="491" customWidth="1"/>
    <col min="5" max="5" width="9.140625" style="482" customWidth="1"/>
    <col min="6" max="6" width="11" style="492" customWidth="1"/>
    <col min="7" max="10" width="9.140625" style="482" customWidth="1"/>
    <col min="11" max="11" width="12.42578125" style="482" customWidth="1"/>
    <col min="12" max="12" width="33.7109375" style="491" customWidth="1"/>
    <col min="13" max="13" width="33.85546875" style="491" customWidth="1"/>
    <col min="14" max="14" width="9.140625" style="478" customWidth="1"/>
    <col min="15" max="15" width="6.7109375" style="483" customWidth="1"/>
    <col min="16" max="16" width="30.140625" style="482" customWidth="1"/>
    <col min="17" max="22" width="9.140625" style="483" customWidth="1"/>
    <col min="23" max="23" width="9.140625" style="482" customWidth="1"/>
    <col min="24" max="24" width="25" style="482" customWidth="1"/>
    <col min="25" max="25" width="24.5703125" style="482" customWidth="1"/>
    <col min="26" max="16384" width="11.42578125" style="478"/>
  </cols>
  <sheetData>
    <row r="1" spans="1:25" ht="27" customHeight="1" x14ac:dyDescent="0.25">
      <c r="A1" s="477" t="s">
        <v>62</v>
      </c>
      <c r="C1" s="479" t="s">
        <v>447</v>
      </c>
      <c r="D1" s="479" t="s">
        <v>437</v>
      </c>
      <c r="E1" s="479" t="s">
        <v>402</v>
      </c>
      <c r="F1" s="480" t="s">
        <v>3</v>
      </c>
      <c r="G1" s="479" t="s">
        <v>402</v>
      </c>
      <c r="H1" s="479" t="s">
        <v>252</v>
      </c>
      <c r="I1" s="479" t="s">
        <v>4</v>
      </c>
      <c r="J1" s="479" t="s">
        <v>15</v>
      </c>
      <c r="K1" s="479" t="s">
        <v>62</v>
      </c>
      <c r="L1" s="581" t="s">
        <v>908</v>
      </c>
      <c r="M1" s="581" t="s">
        <v>952</v>
      </c>
      <c r="O1" s="481" t="s">
        <v>439</v>
      </c>
    </row>
    <row r="2" spans="1:25" ht="46.5" customHeight="1" x14ac:dyDescent="0.25">
      <c r="A2" s="484" t="str">
        <f>IF('Kennzahlenbogen_(KB)'!R8=0,"",'Kennzahlenbogen_(KB)'!R8)</f>
        <v>Unvollständig</v>
      </c>
      <c r="C2" s="485" t="str">
        <f>IF($A2="I.O.","",'Kennzahlenbogen_(KB)'!B8)</f>
        <v>1a)</v>
      </c>
      <c r="D2" s="486" t="str">
        <f>IF($A2="I.O.","",'Kennzahlenbogen_(KB)'!E8)</f>
        <v xml:space="preserve">Anzahl Primärfälle Prostatakarzinom </v>
      </c>
      <c r="E2" s="487" t="str">
        <f>IF(AND('Kennzahlenbogen_(KB)'!L8="",$A2&lt;&gt;"I.O."),"-----",IF($A2="I.O.","",'Kennzahlenbogen_(KB)'!L8))</f>
        <v>-----</v>
      </c>
      <c r="F2" s="487" t="str">
        <f>IF($A2="I.O.","",'Kennzahlenbogen_(KB)'!M8)</f>
        <v xml:space="preserve">≥ 100 </v>
      </c>
      <c r="G2" s="487" t="str">
        <f>IF(AND('Kennzahlenbogen_(KB)'!O8="",$A2&lt;&gt;"I.O."),"-----",IF($A2="I.O.","",'Kennzahlenbogen_(KB)'!O8))</f>
        <v>-----</v>
      </c>
      <c r="H2" s="485">
        <f>IF($A2="I.O.","",IF('Kennzahlenbogen_(KB)'!Q8="","-----",'Kennzahlenbogen_(KB)'!Q8))</f>
        <v>0</v>
      </c>
      <c r="I2" s="485" t="str">
        <f>IF($A2="I.O.","","-----")</f>
        <v>-----</v>
      </c>
      <c r="J2" s="485" t="str">
        <f>IF($A2="I.O.","","-----")</f>
        <v>-----</v>
      </c>
      <c r="K2" s="485" t="str">
        <f>IF($A2="I.O.","",'Kennzahlenbogen_(KB)'!R8)</f>
        <v>Unvollständig</v>
      </c>
      <c r="L2" s="486" t="str">
        <f>IF(AND('Kennzahlenbogen_(KB)'!S8="",$A2&lt;&gt;"I.O."),"-----",IF($A2="I.O.","",'Kennzahlenbogen_(KB)'!S8))</f>
        <v>-----</v>
      </c>
      <c r="M2" s="486" t="str">
        <f>IF(AND('Kennzahlenbogen_(KB)'!T8="",$A2&lt;&gt;"I.O."),"-----",IF($A2="I.O.","",'Kennzahlenbogen_(KB)'!T8))</f>
        <v>-----</v>
      </c>
      <c r="O2" s="485" t="str">
        <f t="array" aca="1" ref="O2" ca="1">IF(ROW()-ROW($D$2:$D$31)+1&gt;ROWS($C$2:$C$31)-COUNTBLANK($C$2:$C$31),"",INDIRECT(ADDRESS(SMALL((IF($C$2:$C$31&lt;&gt;"",ROW($C$2:$C$31),ROW()+ROWS($C$2:$C$31))),ROW()-ROW($D$2:$D$31)+1),COLUMN($C$2:$C$31),4)))</f>
        <v>1a)</v>
      </c>
      <c r="P2" s="488" t="str">
        <f t="array" aca="1" ref="P2" ca="1">IF(ROW()-ROW($E$2:$E$31)+1&gt;ROWS($D$2:$D$31)-COUNTBLANK($D$2:$D$31),"",INDIRECT(ADDRESS(SMALL((IF($D$2:$D$31&gt;"",ROW($D$2:$D$31),ROW()+ROWS($D$2:$D$31))),ROW()-ROW($E$2:$E$31)+1),COLUMN($D$2:$D$31),4)))</f>
        <v xml:space="preserve">Anzahl Primärfälle Prostatakarzinom </v>
      </c>
      <c r="Q2" s="485" t="str">
        <f t="array" aca="1" ref="Q2" ca="1">IF(ROW()-ROW($F$2:$F$31)+1&gt;ROWS($E$2:$E$31)-COUNTBLANK($E$2:$E$31),"",INDIRECT(ADDRESS(SMALL((IF($E$2:$E$31&gt;"",ROW($E$2:$E$31),ROW()+ROWS($E$2:$E$31))),ROW()-ROW($F$2:$F$31)+1),COLUMN($E$2:$E$31),4)))</f>
        <v>-----</v>
      </c>
      <c r="R2" s="485" t="str">
        <f t="array" aca="1" ref="R2" ca="1">IF(ROW()-ROW($G$2:$G$31)+1&gt;ROWS($F$2:$F$31)-COUNTBLANK($F$2:$F$31),"",INDIRECT(ADDRESS(SMALL((IF($F$2:$F$31&gt;"",ROW($F$2:$F$31),ROW()+ROWS($F$2:$F$31))),ROW()-ROW($G$2:$G$31)+1),COLUMN($F$2:$F$31),4)))</f>
        <v xml:space="preserve">≥ 100 </v>
      </c>
      <c r="S2" s="485" t="str">
        <f t="array" aca="1" ref="S2" ca="1">IF(ROW()-ROW($H$2:$H$31)+1&gt;ROWS($G$2:$G$31)-COUNTBLANK($G$2:$G$31),"",INDIRECT(ADDRESS(SMALL((IF($G$2:$G$31&lt;&gt;"",ROW($G$2:$G$31),ROW()+ROWS($G$2:$G$31))),ROW()-ROW($H$2:$H$31)+1),COLUMN($G$2:$G$31),4)))</f>
        <v>-----</v>
      </c>
      <c r="T2" s="485">
        <f t="array" aca="1" ref="T2" ca="1">IF(ROW()-ROW($I$2:$I$31)+1&gt;ROWS($H$2:$H$31)-COUNTBLANK($H$2:$H$31),"",INDIRECT(ADDRESS(SMALL((IF($H$2:$H$31&lt;&gt;"",ROW($H$2:$H$31),ROW()+ROWS($H$2:$H$31))),ROW()-ROW($I$2:$I$31)+1),COLUMN($H$2:$H$31),4)))</f>
        <v>0</v>
      </c>
      <c r="U2" s="485" t="str">
        <f t="array" aca="1" ref="U2" ca="1">IF(ROW()-ROW($J$2:$J$31)+1&gt;ROWS($I$2:$I$31)-COUNTBLANK($I$2:$I$31),"",INDIRECT(ADDRESS(SMALL((IF($I$2:$I$31&lt;&gt;"",ROW($I$2:$I$31),ROW()+ROWS($I$2:$I$31))),ROW()-ROW($J$2:$J$31)+1),COLUMN($I$2:$I$31),4)))</f>
        <v>-----</v>
      </c>
      <c r="V2" s="485" t="str">
        <f t="array" aca="1" ref="V2" ca="1">IF(ROW()-ROW($K$2:$K$31)+1&gt;ROWS($J$2:$J$31)-COUNTBLANK($J$2:$J$31),"",INDIRECT(ADDRESS(SMALL((IF($J$2:$J$31&lt;&gt;"",ROW($J$2:$J$31),ROW()+ROWS($J$2:$J$31))),ROW()-ROW($K$2:$K$31)+1),COLUMN($J$2:$J$31),4)))</f>
        <v>-----</v>
      </c>
      <c r="W2" s="488" t="str">
        <f t="array" aca="1" ref="W2" ca="1">IF(ROW()-ROW($L$2:$L$31)+1&gt;ROWS($K$2:$K$31)-COUNTBLANK($K$2:$K$31),"",INDIRECT(ADDRESS(SMALL((IF($K$2:$K$31&lt;&gt;"",ROW($K$2:$K$31),ROW()+ROWS($K$2:$K$31))),ROW()-ROW($L$2:$L$31)+1),COLUMN($K$2:$K$31),4)))</f>
        <v>Unvollständig</v>
      </c>
      <c r="X2" s="488" t="str">
        <f t="array" aca="1" ref="X2" ca="1">IF(ROW()-ROW($M$2:$M$31)+1&gt;ROWS($L$2:$L$31)-COUNTBLANK($L$2:$L$31),"",INDIRECT(ADDRESS(SMALL((IF($L$2:$L$31&lt;&gt;"",ROW($L$2:$L$31),ROW()+ROWS($L$2:$L$31))),ROW()-ROW($M$2:$M$31)+1),COLUMN($L$2:$L$31),4)))</f>
        <v>-----</v>
      </c>
      <c r="Y2" s="488" t="str">
        <f t="array" aca="1" ref="Y2" ca="1">IF(ROW()-ROW($N$2:$N$31)+1&gt;ROWS($M$2:$M$31)-COUNTBLANK($M$2:$M$31),"",INDIRECT(ADDRESS(SMALL((IF($M$2:$M$31&lt;&gt;"",ROW($M$2:$M$31),ROW()+ROWS($M$2:$M$31))),ROW()-ROW($N$2:$N$31)+1),COLUMN($M$2:$M$31),4)))</f>
        <v>-----</v>
      </c>
    </row>
    <row r="3" spans="1:25" ht="46.5" customHeight="1" x14ac:dyDescent="0.25">
      <c r="A3" s="484" t="str">
        <f>IF('Kennzahlenbogen_(KB)'!R11=0,"",'Kennzahlenbogen_(KB)'!R11)</f>
        <v>Unvollständig</v>
      </c>
      <c r="C3" s="485" t="str">
        <f>IF($A3="I.O.","",CONCATENATE('Kennzahlenbogen_(KB)'!B11,'Kennzahlenbogen_(KB)'!C11))</f>
        <v>1b) 1</v>
      </c>
      <c r="D3" s="486" t="str">
        <f>IF($A3="I.O.","",CONCATENATE('Kennzahlenbogen_(KB)'!E11," - niedrigem Risiko"))</f>
        <v>Aufteilung Primärfälle mit lokal begrenztem Prostatakarzinom - niedrigem Risiko</v>
      </c>
      <c r="E3" s="487" t="str">
        <f>IF(AND('Kennzahlenbogen_(KB)'!L11="",$A3&lt;&gt;"I.O."),"-----",IF($A3="I.O.","",'Kennzahlenbogen_(KB)'!L11))</f>
        <v>-----</v>
      </c>
      <c r="F3" s="487" t="str">
        <f>IF($A3="I.O.","",'Kennzahlenbogen_(KB)'!M11)</f>
        <v>Derzeit keine
Vorgaben</v>
      </c>
      <c r="G3" s="487" t="str">
        <f>IF(AND('Kennzahlenbogen_(KB)'!O11="",$A3&lt;&gt;"I.O."),"-----",IF($A3="I.O.","",'Kennzahlenbogen_(KB)'!O11))</f>
        <v>-----</v>
      </c>
      <c r="H3" s="485">
        <f>IF($A3="I.O.","",IF('Kennzahlenbogen_(KB)'!Q11="","-----",'Kennzahlenbogen_(KB)'!Q11))</f>
        <v>0</v>
      </c>
      <c r="I3" s="485" t="str">
        <f t="shared" ref="I3:J6" si="0">IF($A3="I.O.","","-----")</f>
        <v>-----</v>
      </c>
      <c r="J3" s="485" t="str">
        <f t="shared" si="0"/>
        <v>-----</v>
      </c>
      <c r="K3" s="485" t="str">
        <f>IF($A3="I.O.","",'Kennzahlenbogen_(KB)'!R11)</f>
        <v>Unvollständig</v>
      </c>
      <c r="L3" s="486" t="str">
        <f>IF(AND('Kennzahlenbogen_(KB)'!S11="",$A3&lt;&gt;"I.O."),"-----",IF($A3="I.O.","",'Kennzahlenbogen_(KB)'!S11))</f>
        <v>-----</v>
      </c>
      <c r="M3" s="486" t="str">
        <f>IF(AND('Kennzahlenbogen_(KB)'!T11="",$A3&lt;&gt;"I.O."),"-----",IF($A3="I.O.","",'Kennzahlenbogen_(KB)'!T11))</f>
        <v>-----</v>
      </c>
      <c r="O3" s="485" t="str">
        <f t="array" aca="1" ref="O3" ca="1">IF(ROW()-ROW($D$2:$D$31)+1&gt;ROWS($C$2:$C$31)-COUNTBLANK($C$2:$C$31),"",INDIRECT(ADDRESS(SMALL((IF($C$2:$C$31&lt;&gt;"",ROW($C$2:$C$31),ROW()+ROWS($C$2:$C$31))),ROW()-ROW($D$2:$D$31)+1),COLUMN($C$2:$C$31),4)))</f>
        <v>1b) 1</v>
      </c>
      <c r="P3" s="488" t="str">
        <f t="array" aca="1" ref="P3" ca="1">IF(ROW()-ROW($E$2:$E$31)+1&gt;ROWS($D$2:$D$31)-COUNTBLANK($D$2:$D$31),"",INDIRECT(ADDRESS(SMALL((IF($D$2:$D$31&gt;"",ROW($D$2:$D$31),ROW()+ROWS($D$2:$D$31))),ROW()-ROW($E$2:$E$31)+1),COLUMN($D$2:$D$31),4)))</f>
        <v>Aufteilung Primärfälle mit lokal begrenztem Prostatakarzinom - niedrigem Risiko</v>
      </c>
      <c r="Q3" s="485" t="str">
        <f t="array" aca="1" ref="Q3" ca="1">IF(ROW()-ROW($F$2:$F$31)+1&gt;ROWS($E$2:$E$31)-COUNTBLANK($E$2:$E$31),"",INDIRECT(ADDRESS(SMALL((IF($E$2:$E$31&gt;"",ROW($E$2:$E$31),ROW()+ROWS($E$2:$E$31))),ROW()-ROW($F$2:$F$31)+1),COLUMN($E$2:$E$31),4)))</f>
        <v>-----</v>
      </c>
      <c r="R3" s="485" t="str">
        <f t="array" aca="1" ref="R3" ca="1">IF(ROW()-ROW($G$2:$G$31)+1&gt;ROWS($F$2:$F$31)-COUNTBLANK($F$2:$F$31),"",INDIRECT(ADDRESS(SMALL((IF($F$2:$F$31&gt;"",ROW($F$2:$F$31),ROW()+ROWS($F$2:$F$31))),ROW()-ROW($G$2:$G$31)+1),COLUMN($F$2:$F$31),4)))</f>
        <v>Derzeit keine
Vorgaben</v>
      </c>
      <c r="S3" s="485" t="str">
        <f t="array" aca="1" ref="S3" ca="1">IF(ROW()-ROW($H$2:$H$31)+1&gt;ROWS($G$2:$G$31)-COUNTBLANK($G$2:$G$31),"",INDIRECT(ADDRESS(SMALL((IF($G$2:$G$31&lt;&gt;"",ROW($G$2:$G$31),ROW()+ROWS($G$2:$G$31))),ROW()-ROW($H$2:$H$31)+1),COLUMN($G$2:$G$31),4)))</f>
        <v>-----</v>
      </c>
      <c r="T3" s="485">
        <f t="array" aca="1" ref="T3" ca="1">IF(ROW()-ROW($I$2:$I$31)+1&gt;ROWS($H$2:$H$31)-COUNTBLANK($H$2:$H$31),"",INDIRECT(ADDRESS(SMALL((IF($H$2:$H$31&lt;&gt;"",ROW($H$2:$H$31),ROW()+ROWS($H$2:$H$31))),ROW()-ROW($I$2:$I$31)+1),COLUMN($H$2:$H$31),4)))</f>
        <v>0</v>
      </c>
      <c r="U3" s="485" t="str">
        <f t="array" aca="1" ref="U3" ca="1">IF(ROW()-ROW($J$2:$J$31)+1&gt;ROWS($I$2:$I$31)-COUNTBLANK($I$2:$I$31),"",INDIRECT(ADDRESS(SMALL((IF($I$2:$I$31&lt;&gt;"",ROW($I$2:$I$31),ROW()+ROWS($I$2:$I$31))),ROW()-ROW($J$2:$J$31)+1),COLUMN($I$2:$I$31),4)))</f>
        <v>-----</v>
      </c>
      <c r="V3" s="485" t="str">
        <f t="array" aca="1" ref="V3" ca="1">IF(ROW()-ROW($K$2:$K$31)+1&gt;ROWS($J$2:$J$31)-COUNTBLANK($J$2:$J$31),"",INDIRECT(ADDRESS(SMALL((IF($J$2:$J$31&lt;&gt;"",ROW($J$2:$J$31),ROW()+ROWS($J$2:$J$31))),ROW()-ROW($K$2:$K$31)+1),COLUMN($J$2:$J$31),4)))</f>
        <v>-----</v>
      </c>
      <c r="W3" s="488" t="str">
        <f t="array" aca="1" ref="W3" ca="1">IF(ROW()-ROW($L$2:$L$31)+1&gt;ROWS($K$2:$K$31)-COUNTBLANK($K$2:$K$31),"",INDIRECT(ADDRESS(SMALL((IF($K$2:$K$31&lt;&gt;"",ROW($K$2:$K$31),ROW()+ROWS($K$2:$K$31))),ROW()-ROW($L$2:$L$31)+1),COLUMN($K$2:$K$31),4)))</f>
        <v>Unvollständig</v>
      </c>
      <c r="X3" s="488" t="str">
        <f t="array" aca="1" ref="X3" ca="1">IF(ROW()-ROW($M$2:$M$31)+1&gt;ROWS($L$2:$L$31)-COUNTBLANK($L$2:$L$31),"",INDIRECT(ADDRESS(SMALL((IF($L$2:$L$31&lt;&gt;"",ROW($L$2:$L$31),ROW()+ROWS($L$2:$L$31))),ROW()-ROW($M$2:$M$31)+1),COLUMN($L$2:$L$31),4)))</f>
        <v>-----</v>
      </c>
      <c r="Y3" s="488" t="str">
        <f t="array" aca="1" ref="Y3" ca="1">IF(ROW()-ROW($N$2:$N$31)+1&gt;ROWS($M$2:$M$31)-COUNTBLANK($M$2:$M$31),"",INDIRECT(ADDRESS(SMALL((IF($M$2:$M$31&lt;&gt;"",ROW($M$2:$M$31),ROW()+ROWS($M$2:$M$31))),ROW()-ROW($N$2:$N$31)+1),COLUMN($M$2:$M$31),4)))</f>
        <v>-----</v>
      </c>
    </row>
    <row r="4" spans="1:25" ht="46.5" customHeight="1" x14ac:dyDescent="0.25">
      <c r="A4" s="484" t="str">
        <f>IF('Kennzahlenbogen_(KB)'!R14=0,"",'Kennzahlenbogen_(KB)'!R14)</f>
        <v>Unvollständig</v>
      </c>
      <c r="C4" s="485" t="str">
        <f>IF($A4="I.O.","",CONCATENATE('Kennzahlenbogen_(KB)'!B11,'Kennzahlenbogen_(KB)'!C14))</f>
        <v>1b) 2</v>
      </c>
      <c r="D4" s="486" t="str">
        <f>IF($A4="I.O.","",CONCATENATE('Kennzahlenbogen_(KB)'!E14," - mittlerem Risiko"))</f>
        <v>Aufteilung Primärfälle mit lokal begrenztem Prostatakarzinom - mittlerem Risiko</v>
      </c>
      <c r="E4" s="487" t="str">
        <f>IF(AND('Kennzahlenbogen_(KB)'!L14="",$A4&lt;&gt;"I.O."),"-----",IF($A4="I.O.","",'Kennzahlenbogen_(KB)'!L14))</f>
        <v>-----</v>
      </c>
      <c r="F4" s="487" t="str">
        <f>IF($A4="I.O.","",'Kennzahlenbogen_(KB)'!M14)</f>
        <v>Derzeit keine
Vorgaben</v>
      </c>
      <c r="G4" s="487" t="str">
        <f>IF(AND('Kennzahlenbogen_(KB)'!O14="",$A4&lt;&gt;"I.O."),"-----",IF($A4="I.O.","",'Kennzahlenbogen_(KB)'!O14))</f>
        <v>-----</v>
      </c>
      <c r="H4" s="485">
        <f>IF($A4="I.O.","",IF('Kennzahlenbogen_(KB)'!Q14="","-----",'Kennzahlenbogen_(KB)'!Q14))</f>
        <v>0</v>
      </c>
      <c r="I4" s="485" t="str">
        <f t="shared" si="0"/>
        <v>-----</v>
      </c>
      <c r="J4" s="485" t="str">
        <f t="shared" si="0"/>
        <v>-----</v>
      </c>
      <c r="K4" s="485" t="str">
        <f>IF($A4="I.O.","",'Kennzahlenbogen_(KB)'!R14)</f>
        <v>Unvollständig</v>
      </c>
      <c r="L4" s="486" t="str">
        <f>IF(AND('Kennzahlenbogen_(KB)'!S14="",$A4&lt;&gt;"I.O."),"-----",IF($A4="I.O.","",'Kennzahlenbogen_(KB)'!S14))</f>
        <v>-----</v>
      </c>
      <c r="M4" s="486" t="str">
        <f>IF(AND('Kennzahlenbogen_(KB)'!T14="",$A4&lt;&gt;"I.O."),"-----",IF($A4="I.O.","",'Kennzahlenbogen_(KB)'!T14))</f>
        <v>-----</v>
      </c>
      <c r="O4" s="485" t="str">
        <f t="array" aca="1" ref="O4" ca="1">IF(ROW()-ROW($D$2:$D$31)+1&gt;ROWS($C$2:$C$31)-COUNTBLANK($C$2:$C$31),"",INDIRECT(ADDRESS(SMALL((IF($C$2:$C$31&lt;&gt;"",ROW($C$2:$C$31),ROW()+ROWS($C$2:$C$31))),ROW()-ROW($D$2:$D$31)+1),COLUMN($C$2:$C$31),4)))</f>
        <v>1b) 2</v>
      </c>
      <c r="P4" s="488" t="str">
        <f t="array" aca="1" ref="P4" ca="1">IF(ROW()-ROW($E$2:$E$31)+1&gt;ROWS($D$2:$D$31)-COUNTBLANK($D$2:$D$31),"",INDIRECT(ADDRESS(SMALL((IF($D$2:$D$31&gt;"",ROW($D$2:$D$31),ROW()+ROWS($D$2:$D$31))),ROW()-ROW($E$2:$E$31)+1),COLUMN($D$2:$D$31),4)))</f>
        <v>Aufteilung Primärfälle mit lokal begrenztem Prostatakarzinom - mittlerem Risiko</v>
      </c>
      <c r="Q4" s="485" t="str">
        <f t="array" aca="1" ref="Q4" ca="1">IF(ROW()-ROW($F$2:$F$31)+1&gt;ROWS($E$2:$E$31)-COUNTBLANK($E$2:$E$31),"",INDIRECT(ADDRESS(SMALL((IF($E$2:$E$31&gt;"",ROW($E$2:$E$31),ROW()+ROWS($E$2:$E$31))),ROW()-ROW($F$2:$F$31)+1),COLUMN($E$2:$E$31),4)))</f>
        <v>-----</v>
      </c>
      <c r="R4" s="485" t="str">
        <f t="array" aca="1" ref="R4" ca="1">IF(ROW()-ROW($G$2:$G$31)+1&gt;ROWS($F$2:$F$31)-COUNTBLANK($F$2:$F$31),"",INDIRECT(ADDRESS(SMALL((IF($F$2:$F$31&gt;"",ROW($F$2:$F$31),ROW()+ROWS($F$2:$F$31))),ROW()-ROW($G$2:$G$31)+1),COLUMN($F$2:$F$31),4)))</f>
        <v>Derzeit keine
Vorgaben</v>
      </c>
      <c r="S4" s="485" t="str">
        <f t="array" aca="1" ref="S4" ca="1">IF(ROW()-ROW($H$2:$H$31)+1&gt;ROWS($G$2:$G$31)-COUNTBLANK($G$2:$G$31),"",INDIRECT(ADDRESS(SMALL((IF($G$2:$G$31&lt;&gt;"",ROW($G$2:$G$31),ROW()+ROWS($G$2:$G$31))),ROW()-ROW($H$2:$H$31)+1),COLUMN($G$2:$G$31),4)))</f>
        <v>-----</v>
      </c>
      <c r="T4" s="485">
        <f t="array" aca="1" ref="T4" ca="1">IF(ROW()-ROW($I$2:$I$31)+1&gt;ROWS($H$2:$H$31)-COUNTBLANK($H$2:$H$31),"",INDIRECT(ADDRESS(SMALL((IF($H$2:$H$31&lt;&gt;"",ROW($H$2:$H$31),ROW()+ROWS($H$2:$H$31))),ROW()-ROW($I$2:$I$31)+1),COLUMN($H$2:$H$31),4)))</f>
        <v>0</v>
      </c>
      <c r="U4" s="485" t="str">
        <f t="array" aca="1" ref="U4" ca="1">IF(ROW()-ROW($J$2:$J$31)+1&gt;ROWS($I$2:$I$31)-COUNTBLANK($I$2:$I$31),"",INDIRECT(ADDRESS(SMALL((IF($I$2:$I$31&lt;&gt;"",ROW($I$2:$I$31),ROW()+ROWS($I$2:$I$31))),ROW()-ROW($J$2:$J$31)+1),COLUMN($I$2:$I$31),4)))</f>
        <v>-----</v>
      </c>
      <c r="V4" s="485" t="str">
        <f t="array" aca="1" ref="V4" ca="1">IF(ROW()-ROW($K$2:$K$31)+1&gt;ROWS($J$2:$J$31)-COUNTBLANK($J$2:$J$31),"",INDIRECT(ADDRESS(SMALL((IF($J$2:$J$31&lt;&gt;"",ROW($J$2:$J$31),ROW()+ROWS($J$2:$J$31))),ROW()-ROW($K$2:$K$31)+1),COLUMN($J$2:$J$31),4)))</f>
        <v>-----</v>
      </c>
      <c r="W4" s="488" t="str">
        <f t="array" aca="1" ref="W4" ca="1">IF(ROW()-ROW($L$2:$L$31)+1&gt;ROWS($K$2:$K$31)-COUNTBLANK($K$2:$K$31),"",INDIRECT(ADDRESS(SMALL((IF($K$2:$K$31&lt;&gt;"",ROW($K$2:$K$31),ROW()+ROWS($K$2:$K$31))),ROW()-ROW($L$2:$L$31)+1),COLUMN($K$2:$K$31),4)))</f>
        <v>Unvollständig</v>
      </c>
      <c r="X4" s="488" t="str">
        <f t="array" aca="1" ref="X4" ca="1">IF(ROW()-ROW($M$2:$M$31)+1&gt;ROWS($L$2:$L$31)-COUNTBLANK($L$2:$L$31),"",INDIRECT(ADDRESS(SMALL((IF($L$2:$L$31&lt;&gt;"",ROW($L$2:$L$31),ROW()+ROWS($L$2:$L$31))),ROW()-ROW($M$2:$M$31)+1),COLUMN($L$2:$L$31),4)))</f>
        <v>-----</v>
      </c>
      <c r="Y4" s="488" t="str">
        <f t="array" aca="1" ref="Y4" ca="1">IF(ROW()-ROW($N$2:$N$31)+1&gt;ROWS($M$2:$M$31)-COUNTBLANK($M$2:$M$31),"",INDIRECT(ADDRESS(SMALL((IF($M$2:$M$31&lt;&gt;"",ROW($M$2:$M$31),ROW()+ROWS($M$2:$M$31))),ROW()-ROW($N$2:$N$31)+1),COLUMN($M$2:$M$31),4)))</f>
        <v>-----</v>
      </c>
    </row>
    <row r="5" spans="1:25" ht="46.5" customHeight="1" x14ac:dyDescent="0.25">
      <c r="A5" s="484" t="str">
        <f>IF('Kennzahlenbogen_(KB)'!R17=0,"",'Kennzahlenbogen_(KB)'!R17)</f>
        <v>Unvollständig</v>
      </c>
      <c r="C5" s="485" t="str">
        <f>IF($A5="I.O.","",CONCATENATE('Kennzahlenbogen_(KB)'!B11,'Kennzahlenbogen_(KB)'!C17))</f>
        <v>1b) 3</v>
      </c>
      <c r="D5" s="486" t="str">
        <f>IF($A5="I.O.","",CONCATENATE('Kennzahlenbogen_(KB)'!E17," - hohem Risiko"))</f>
        <v>Aufteilung Primärfälle mit lokal begrenztem Prostatakarzinom - hohem Risiko</v>
      </c>
      <c r="E5" s="487" t="str">
        <f>IF(AND('Kennzahlenbogen_(KB)'!L17="",$A5&lt;&gt;"I.O."),"-----",IF($A5="I.O.","",'Kennzahlenbogen_(KB)'!L17))</f>
        <v>-----</v>
      </c>
      <c r="F5" s="487" t="str">
        <f>IF($A5="I.O.","",'Kennzahlenbogen_(KB)'!M17)</f>
        <v>Derzeit keine
Vorgaben</v>
      </c>
      <c r="G5" s="487" t="str">
        <f>IF(AND('Kennzahlenbogen_(KB)'!O17="",$A5&lt;&gt;"I.O."),"-----",IF($A5="I.O.","",'Kennzahlenbogen_(KB)'!O17))</f>
        <v>-----</v>
      </c>
      <c r="H5" s="485">
        <f>IF($A5="I.O.","",IF('Kennzahlenbogen_(KB)'!Q17="","-----",'Kennzahlenbogen_(KB)'!Q17))</f>
        <v>0</v>
      </c>
      <c r="I5" s="485" t="str">
        <f t="shared" si="0"/>
        <v>-----</v>
      </c>
      <c r="J5" s="485" t="str">
        <f>IF($A5="I.O.","","-----")</f>
        <v>-----</v>
      </c>
      <c r="K5" s="485" t="str">
        <f>IF($A5="I.O.","",'Kennzahlenbogen_(KB)'!R17)</f>
        <v>Unvollständig</v>
      </c>
      <c r="L5" s="486" t="str">
        <f>IF(AND('Kennzahlenbogen_(KB)'!S17="",$A5&lt;&gt;"I.O."),"-----",IF($A5="I.O.","",'Kennzahlenbogen_(KB)'!S17))</f>
        <v>-----</v>
      </c>
      <c r="M5" s="486" t="str">
        <f>IF(AND('Kennzahlenbogen_(KB)'!T17="",$A5&lt;&gt;"I.O."),"-----",IF($A5="I.O.","",'Kennzahlenbogen_(KB)'!T17))</f>
        <v>-----</v>
      </c>
      <c r="O5" s="485" t="str">
        <f t="array" aca="1" ref="O5" ca="1">IF(ROW()-ROW($D$2:$D$31)+1&gt;ROWS($C$2:$C$31)-COUNTBLANK($C$2:$C$31),"",INDIRECT(ADDRESS(SMALL((IF($C$2:$C$31&lt;&gt;"",ROW($C$2:$C$31),ROW()+ROWS($C$2:$C$31))),ROW()-ROW($D$2:$D$31)+1),COLUMN($C$2:$C$31),4)))</f>
        <v>1b) 3</v>
      </c>
      <c r="P5" s="488" t="str">
        <f t="array" aca="1" ref="P5" ca="1">IF(ROW()-ROW($E$2:$E$31)+1&gt;ROWS($D$2:$D$31)-COUNTBLANK($D$2:$D$31),"",INDIRECT(ADDRESS(SMALL((IF($D$2:$D$31&gt;"",ROW($D$2:$D$31),ROW()+ROWS($D$2:$D$31))),ROW()-ROW($E$2:$E$31)+1),COLUMN($D$2:$D$31),4)))</f>
        <v>Aufteilung Primärfälle mit lokal begrenztem Prostatakarzinom - hohem Risiko</v>
      </c>
      <c r="Q5" s="485" t="str">
        <f t="array" aca="1" ref="Q5" ca="1">IF(ROW()-ROW($F$2:$F$31)+1&gt;ROWS($E$2:$E$31)-COUNTBLANK($E$2:$E$31),"",INDIRECT(ADDRESS(SMALL((IF($E$2:$E$31&gt;"",ROW($E$2:$E$31),ROW()+ROWS($E$2:$E$31))),ROW()-ROW($F$2:$F$31)+1),COLUMN($E$2:$E$31),4)))</f>
        <v>-----</v>
      </c>
      <c r="R5" s="485" t="str">
        <f t="array" aca="1" ref="R5" ca="1">IF(ROW()-ROW($G$2:$G$31)+1&gt;ROWS($F$2:$F$31)-COUNTBLANK($F$2:$F$31),"",INDIRECT(ADDRESS(SMALL((IF($F$2:$F$31&gt;"",ROW($F$2:$F$31),ROW()+ROWS($F$2:$F$31))),ROW()-ROW($G$2:$G$31)+1),COLUMN($F$2:$F$31),4)))</f>
        <v>Derzeit keine
Vorgaben</v>
      </c>
      <c r="S5" s="485" t="str">
        <f t="array" aca="1" ref="S5" ca="1">IF(ROW()-ROW($H$2:$H$31)+1&gt;ROWS($G$2:$G$31)-COUNTBLANK($G$2:$G$31),"",INDIRECT(ADDRESS(SMALL((IF($G$2:$G$31&lt;&gt;"",ROW($G$2:$G$31),ROW()+ROWS($G$2:$G$31))),ROW()-ROW($H$2:$H$31)+1),COLUMN($G$2:$G$31),4)))</f>
        <v>-----</v>
      </c>
      <c r="T5" s="485">
        <f t="array" aca="1" ref="T5" ca="1">IF(ROW()-ROW($I$2:$I$31)+1&gt;ROWS($H$2:$H$31)-COUNTBLANK($H$2:$H$31),"",INDIRECT(ADDRESS(SMALL((IF($H$2:$H$31&lt;&gt;"",ROW($H$2:$H$31),ROW()+ROWS($H$2:$H$31))),ROW()-ROW($I$2:$I$31)+1),COLUMN($H$2:$H$31),4)))</f>
        <v>0</v>
      </c>
      <c r="U5" s="485" t="str">
        <f t="array" aca="1" ref="U5" ca="1">IF(ROW()-ROW($J$2:$J$31)+1&gt;ROWS($I$2:$I$31)-COUNTBLANK($I$2:$I$31),"",INDIRECT(ADDRESS(SMALL((IF($I$2:$I$31&lt;&gt;"",ROW($I$2:$I$31),ROW()+ROWS($I$2:$I$31))),ROW()-ROW($J$2:$J$31)+1),COLUMN($I$2:$I$31),4)))</f>
        <v>-----</v>
      </c>
      <c r="V5" s="485" t="str">
        <f t="array" aca="1" ref="V5" ca="1">IF(ROW()-ROW($K$2:$K$31)+1&gt;ROWS($J$2:$J$31)-COUNTBLANK($J$2:$J$31),"",INDIRECT(ADDRESS(SMALL((IF($J$2:$J$31&lt;&gt;"",ROW($J$2:$J$31),ROW()+ROWS($J$2:$J$31))),ROW()-ROW($K$2:$K$31)+1),COLUMN($J$2:$J$31),4)))</f>
        <v>-----</v>
      </c>
      <c r="W5" s="488" t="str">
        <f t="array" aca="1" ref="W5" ca="1">IF(ROW()-ROW($L$2:$L$31)+1&gt;ROWS($K$2:$K$31)-COUNTBLANK($K$2:$K$31),"",INDIRECT(ADDRESS(SMALL((IF($K$2:$K$31&lt;&gt;"",ROW($K$2:$K$31),ROW()+ROWS($K$2:$K$31))),ROW()-ROW($L$2:$L$31)+1),COLUMN($K$2:$K$31),4)))</f>
        <v>Unvollständig</v>
      </c>
      <c r="X5" s="488" t="str">
        <f t="array" aca="1" ref="X5" ca="1">IF(ROW()-ROW($M$2:$M$31)+1&gt;ROWS($L$2:$L$31)-COUNTBLANK($L$2:$L$31),"",INDIRECT(ADDRESS(SMALL((IF($L$2:$L$31&lt;&gt;"",ROW($L$2:$L$31),ROW()+ROWS($L$2:$L$31))),ROW()-ROW($M$2:$M$31)+1),COLUMN($L$2:$L$31),4)))</f>
        <v>-----</v>
      </c>
      <c r="Y5" s="488" t="str">
        <f t="array" aca="1" ref="Y5" ca="1">IF(ROW()-ROW($N$2:$N$31)+1&gt;ROWS($M$2:$M$31)-COUNTBLANK($M$2:$M$31),"",INDIRECT(ADDRESS(SMALL((IF($M$2:$M$31&lt;&gt;"",ROW($M$2:$M$31),ROW()+ROWS($M$2:$M$31))),ROW()-ROW($N$2:$N$31)+1),COLUMN($M$2:$M$31),4)))</f>
        <v>-----</v>
      </c>
    </row>
    <row r="6" spans="1:25" ht="46.5" customHeight="1" x14ac:dyDescent="0.25">
      <c r="A6" s="484" t="str">
        <f>IF('Kennzahlenbogen_(KB)'!R20=0,"",'Kennzahlenbogen_(KB)'!R20)</f>
        <v>Unvollständig</v>
      </c>
      <c r="C6" s="489" t="str">
        <f>IF($A6="I.O.","",'Kennzahlenbogen_(KB)'!B20)</f>
        <v>1c)</v>
      </c>
      <c r="D6" s="486" t="str">
        <f>IF($A6="I.O.","",CONCATENATE('Kennzahlenbogen_(KB)'!E20))</f>
        <v>Pat. mit neuaufgetretenem Rezidiv und/ oder 
Fernmetastasen</v>
      </c>
      <c r="E6" s="487" t="str">
        <f>IF(AND('Kennzahlenbogen_(KB)'!L20="",$A6&lt;&gt;"I.O."),"-----",IF($A6="I.O.","",'Kennzahlenbogen_(KB)'!L20))</f>
        <v>-----</v>
      </c>
      <c r="F6" s="487" t="str">
        <f>IF($A6="I.O.","",'Kennzahlenbogen_(KB)'!M20)</f>
        <v>Derzeit keine
Vorgaben</v>
      </c>
      <c r="G6" s="487" t="str">
        <f>IF(AND('Kennzahlenbogen_(KB)'!O20="",$A6&lt;&gt;"I.O."),"-----",IF($A6="I.O.","",'Kennzahlenbogen_(KB)'!O20))</f>
        <v>-----</v>
      </c>
      <c r="H6" s="485">
        <f>IF($A6="I.O.","",IF('Kennzahlenbogen_(KB)'!Q20="","-----",'Kennzahlenbogen_(KB)'!Q20))</f>
        <v>0</v>
      </c>
      <c r="I6" s="485" t="str">
        <f t="shared" si="0"/>
        <v>-----</v>
      </c>
      <c r="J6" s="485" t="str">
        <f t="shared" si="0"/>
        <v>-----</v>
      </c>
      <c r="K6" s="485" t="str">
        <f>IF($A6="I.O.","",'Kennzahlenbogen_(KB)'!R20)</f>
        <v>Unvollständig</v>
      </c>
      <c r="L6" s="486" t="str">
        <f>IF(AND('Kennzahlenbogen_(KB)'!S20="",$A6&lt;&gt;"I.O."),"-----",IF($A6="I.O.","",'Kennzahlenbogen_(KB)'!S20))</f>
        <v>-----</v>
      </c>
      <c r="M6" s="486" t="str">
        <f>IF(AND('Kennzahlenbogen_(KB)'!T20="",$A6&lt;&gt;"I.O."),"-----",IF($A6="I.O.","",'Kennzahlenbogen_(KB)'!T20))</f>
        <v>-----</v>
      </c>
      <c r="O6" s="485" t="str">
        <f t="array" aca="1" ref="O6" ca="1">IF(ROW()-ROW($D$2:$D$31)+1&gt;ROWS($C$2:$C$31)-COUNTBLANK($C$2:$C$31),"",INDIRECT(ADDRESS(SMALL((IF($C$2:$C$31&lt;&gt;"",ROW($C$2:$C$31),ROW()+ROWS($C$2:$C$31))),ROW()-ROW($D$2:$D$31)+1),COLUMN($C$2:$C$31),4)))</f>
        <v>1c)</v>
      </c>
      <c r="P6" s="488" t="str">
        <f t="array" aca="1" ref="P6" ca="1">IF(ROW()-ROW($E$2:$E$31)+1&gt;ROWS($D$2:$D$31)-COUNTBLANK($D$2:$D$31),"",INDIRECT(ADDRESS(SMALL((IF($D$2:$D$31&gt;"",ROW($D$2:$D$31),ROW()+ROWS($D$2:$D$31))),ROW()-ROW($E$2:$E$31)+1),COLUMN($D$2:$D$31),4)))</f>
        <v>Pat. mit neuaufgetretenem Rezidiv und/ oder 
Fernmetastasen</v>
      </c>
      <c r="Q6" s="485" t="str">
        <f t="array" aca="1" ref="Q6" ca="1">IF(ROW()-ROW($F$2:$F$31)+1&gt;ROWS($E$2:$E$31)-COUNTBLANK($E$2:$E$31),"",INDIRECT(ADDRESS(SMALL((IF($E$2:$E$31&gt;"",ROW($E$2:$E$31),ROW()+ROWS($E$2:$E$31))),ROW()-ROW($F$2:$F$31)+1),COLUMN($E$2:$E$31),4)))</f>
        <v>-----</v>
      </c>
      <c r="R6" s="485" t="str">
        <f t="array" aca="1" ref="R6" ca="1">IF(ROW()-ROW($G$2:$G$31)+1&gt;ROWS($F$2:$F$31)-COUNTBLANK($F$2:$F$31),"",INDIRECT(ADDRESS(SMALL((IF($F$2:$F$31&gt;"",ROW($F$2:$F$31),ROW()+ROWS($F$2:$F$31))),ROW()-ROW($G$2:$G$31)+1),COLUMN($F$2:$F$31),4)))</f>
        <v>Derzeit keine
Vorgaben</v>
      </c>
      <c r="S6" s="485" t="str">
        <f t="array" aca="1" ref="S6" ca="1">IF(ROW()-ROW($H$2:$H$31)+1&gt;ROWS($G$2:$G$31)-COUNTBLANK($G$2:$G$31),"",INDIRECT(ADDRESS(SMALL((IF($G$2:$G$31&lt;&gt;"",ROW($G$2:$G$31),ROW()+ROWS($G$2:$G$31))),ROW()-ROW($H$2:$H$31)+1),COLUMN($G$2:$G$31),4)))</f>
        <v>-----</v>
      </c>
      <c r="T6" s="485">
        <f t="array" aca="1" ref="T6" ca="1">IF(ROW()-ROW($I$2:$I$31)+1&gt;ROWS($H$2:$H$31)-COUNTBLANK($H$2:$H$31),"",INDIRECT(ADDRESS(SMALL((IF($H$2:$H$31&lt;&gt;"",ROW($H$2:$H$31),ROW()+ROWS($H$2:$H$31))),ROW()-ROW($I$2:$I$31)+1),COLUMN($H$2:$H$31),4)))</f>
        <v>0</v>
      </c>
      <c r="U6" s="485" t="str">
        <f t="array" aca="1" ref="U6" ca="1">IF(ROW()-ROW($J$2:$J$31)+1&gt;ROWS($I$2:$I$31)-COUNTBLANK($I$2:$I$31),"",INDIRECT(ADDRESS(SMALL((IF($I$2:$I$31&lt;&gt;"",ROW($I$2:$I$31),ROW()+ROWS($I$2:$I$31))),ROW()-ROW($J$2:$J$31)+1),COLUMN($I$2:$I$31),4)))</f>
        <v>-----</v>
      </c>
      <c r="V6" s="485" t="str">
        <f t="array" aca="1" ref="V6" ca="1">IF(ROW()-ROW($K$2:$K$31)+1&gt;ROWS($J$2:$J$31)-COUNTBLANK($J$2:$J$31),"",INDIRECT(ADDRESS(SMALL((IF($J$2:$J$31&lt;&gt;"",ROW($J$2:$J$31),ROW()+ROWS($J$2:$J$31))),ROW()-ROW($K$2:$K$31)+1),COLUMN($J$2:$J$31),4)))</f>
        <v>-----</v>
      </c>
      <c r="W6" s="488" t="str">
        <f t="array" aca="1" ref="W6" ca="1">IF(ROW()-ROW($L$2:$L$31)+1&gt;ROWS($K$2:$K$31)-COUNTBLANK($K$2:$K$31),"",INDIRECT(ADDRESS(SMALL((IF($K$2:$K$31&lt;&gt;"",ROW($K$2:$K$31),ROW()+ROWS($K$2:$K$31))),ROW()-ROW($L$2:$L$31)+1),COLUMN($K$2:$K$31),4)))</f>
        <v>Unvollständig</v>
      </c>
      <c r="X6" s="488" t="str">
        <f t="array" aca="1" ref="X6" ca="1">IF(ROW()-ROW($M$2:$M$31)+1&gt;ROWS($L$2:$L$31)-COUNTBLANK($L$2:$L$31),"",INDIRECT(ADDRESS(SMALL((IF($L$2:$L$31&lt;&gt;"",ROW($L$2:$L$31),ROW()+ROWS($L$2:$L$31))),ROW()-ROW($M$2:$M$31)+1),COLUMN($L$2:$L$31),4)))</f>
        <v>-----</v>
      </c>
      <c r="Y6" s="488" t="str">
        <f t="array" aca="1" ref="Y6" ca="1">IF(ROW()-ROW($N$2:$N$31)+1&gt;ROWS($M$2:$M$31)-COUNTBLANK($M$2:$M$31),"",INDIRECT(ADDRESS(SMALL((IF($M$2:$M$31&lt;&gt;"",ROW($M$2:$M$31),ROW()+ROWS($M$2:$M$31))),ROW()-ROW($N$2:$N$31)+1),COLUMN($M$2:$M$31),4)))</f>
        <v>-----</v>
      </c>
    </row>
    <row r="7" spans="1:25" ht="46.5" customHeight="1" x14ac:dyDescent="0.25">
      <c r="A7" s="484" t="str">
        <f>IF('Kennzahlenbogen_(KB)'!R23=0,"",'Kennzahlenbogen_(KB)'!R23)</f>
        <v>Unvollständig</v>
      </c>
      <c r="C7" s="489" t="str">
        <f>IF($A7="I.O.","",CONCATENATE('Kennzahlenbogen_(KB)'!B23,'Kennzahlenbogen_(KB)'!C23))</f>
        <v>2a</v>
      </c>
      <c r="D7" s="486" t="str">
        <f>IF($A7="I.O.","",CONCATENATE('Kennzahlenbogen_(KB)'!E23," - Urologie"))</f>
        <v>Vorstellung in der wöchentlichen prätherapeutischen Konferenz - Urologie</v>
      </c>
      <c r="E7" s="487" t="str">
        <f>IF(AND('Kennzahlenbogen_(KB)'!L23="",$A7&lt;&gt;"I.O."),"-----",IF($A7="I.O.","",'Kennzahlenbogen_(KB)'!L23))</f>
        <v>-----</v>
      </c>
      <c r="F7" s="487" t="str">
        <f>IF($A7="I.O.","",'Kennzahlenbogen_(KB)'!M23)</f>
        <v>≥ 95%</v>
      </c>
      <c r="G7" s="487" t="str">
        <f>IF(AND('Kennzahlenbogen_(KB)'!O23="",$A7&lt;&gt;"I.O."),"-----",IF($A7="I.O.","",'Kennzahlenbogen_(KB)'!O23))</f>
        <v>-----</v>
      </c>
      <c r="H7" s="485" t="str">
        <f>IF($A7="I.O.","",IF('Kennzahlenbogen_(KB)'!Q23="","-----",'Kennzahlenbogen_(KB)'!Q23))</f>
        <v>-----</v>
      </c>
      <c r="I7" s="485" t="str">
        <f>IF($A7="I.O.","",IF('Kennzahlenbogen_(KB)'!Q24="","-----",'Kennzahlenbogen_(KB)'!Q24))</f>
        <v>-----</v>
      </c>
      <c r="J7" s="485" t="str">
        <f>IF($A7="I.O.","",IF('Kennzahlenbogen_(KB)'!Q25="","-----",'Kennzahlenbogen_(KB)'!Q25))</f>
        <v>n.d.</v>
      </c>
      <c r="K7" s="485" t="str">
        <f>IF($A7="I.O.","",'Kennzahlenbogen_(KB)'!R23)</f>
        <v>Unvollständig</v>
      </c>
      <c r="L7" s="486" t="str">
        <f>IF(AND('Kennzahlenbogen_(KB)'!S23="",$A7&lt;&gt;"I.O."),"-----",IF($A7="I.O.","",'Kennzahlenbogen_(KB)'!S23))</f>
        <v>-----</v>
      </c>
      <c r="M7" s="486" t="str">
        <f>IF(AND('Kennzahlenbogen_(KB)'!T23="",$A7&lt;&gt;"I.O."),"-----",IF($A7="I.O.","",'Kennzahlenbogen_(KB)'!T23))</f>
        <v>-----</v>
      </c>
      <c r="O7" s="485" t="str">
        <f t="array" aca="1" ref="O7" ca="1">IF(ROW()-ROW($D$2:$D$31)+1&gt;ROWS($C$2:$C$31)-COUNTBLANK($C$2:$C$31),"",INDIRECT(ADDRESS(SMALL((IF($C$2:$C$31&lt;&gt;"",ROW($C$2:$C$31),ROW()+ROWS($C$2:$C$31))),ROW()-ROW($D$2:$D$31)+1),COLUMN($C$2:$C$31),4)))</f>
        <v>2a</v>
      </c>
      <c r="P7" s="488" t="str">
        <f t="array" aca="1" ref="P7" ca="1">IF(ROW()-ROW($E$2:$E$31)+1&gt;ROWS($D$2:$D$31)-COUNTBLANK($D$2:$D$31),"",INDIRECT(ADDRESS(SMALL((IF($D$2:$D$31&gt;"",ROW($D$2:$D$31),ROW()+ROWS($D$2:$D$31))),ROW()-ROW($E$2:$E$31)+1),COLUMN($D$2:$D$31),4)))</f>
        <v>Vorstellung in der wöchentlichen prätherapeutischen Konferenz - Urologie</v>
      </c>
      <c r="Q7" s="485" t="str">
        <f t="array" aca="1" ref="Q7" ca="1">IF(ROW()-ROW($F$2:$F$31)+1&gt;ROWS($E$2:$E$31)-COUNTBLANK($E$2:$E$31),"",INDIRECT(ADDRESS(SMALL((IF($E$2:$E$31&gt;"",ROW($E$2:$E$31),ROW()+ROWS($E$2:$E$31))),ROW()-ROW($F$2:$F$31)+1),COLUMN($E$2:$E$31),4)))</f>
        <v>-----</v>
      </c>
      <c r="R7" s="485" t="str">
        <f t="array" aca="1" ref="R7" ca="1">IF(ROW()-ROW($G$2:$G$31)+1&gt;ROWS($F$2:$F$31)-COUNTBLANK($F$2:$F$31),"",INDIRECT(ADDRESS(SMALL((IF($F$2:$F$31&gt;"",ROW($F$2:$F$31),ROW()+ROWS($F$2:$F$31))),ROW()-ROW($G$2:$G$31)+1),COLUMN($F$2:$F$31),4)))</f>
        <v>≥ 95%</v>
      </c>
      <c r="S7" s="485" t="str">
        <f t="array" aca="1" ref="S7" ca="1">IF(ROW()-ROW($H$2:$H$31)+1&gt;ROWS($G$2:$G$31)-COUNTBLANK($G$2:$G$31),"",INDIRECT(ADDRESS(SMALL((IF($G$2:$G$31&lt;&gt;"",ROW($G$2:$G$31),ROW()+ROWS($G$2:$G$31))),ROW()-ROW($H$2:$H$31)+1),COLUMN($G$2:$G$31),4)))</f>
        <v>-----</v>
      </c>
      <c r="T7" s="485" t="str">
        <f t="array" aca="1" ref="T7" ca="1">IF(ROW()-ROW($I$2:$I$31)+1&gt;ROWS($H$2:$H$31)-COUNTBLANK($H$2:$H$31),"",INDIRECT(ADDRESS(SMALL((IF($H$2:$H$31&lt;&gt;"",ROW($H$2:$H$31),ROW()+ROWS($H$2:$H$31))),ROW()-ROW($I$2:$I$31)+1),COLUMN($H$2:$H$31),4)))</f>
        <v>-----</v>
      </c>
      <c r="U7" s="485" t="str">
        <f t="array" aca="1" ref="U7" ca="1">IF(ROW()-ROW($J$2:$J$31)+1&gt;ROWS($I$2:$I$31)-COUNTBLANK($I$2:$I$31),"",INDIRECT(ADDRESS(SMALL((IF($I$2:$I$31&lt;&gt;"",ROW($I$2:$I$31),ROW()+ROWS($I$2:$I$31))),ROW()-ROW($J$2:$J$31)+1),COLUMN($I$2:$I$31),4)))</f>
        <v>-----</v>
      </c>
      <c r="V7" s="485" t="str">
        <f t="array" aca="1" ref="V7" ca="1">IF(ROW()-ROW($K$2:$K$31)+1&gt;ROWS($J$2:$J$31)-COUNTBLANK($J$2:$J$31),"",INDIRECT(ADDRESS(SMALL((IF($J$2:$J$31&lt;&gt;"",ROW($J$2:$J$31),ROW()+ROWS($J$2:$J$31))),ROW()-ROW($K$2:$K$31)+1),COLUMN($J$2:$J$31),4)))</f>
        <v>n.d.</v>
      </c>
      <c r="W7" s="488" t="str">
        <f t="array" aca="1" ref="W7" ca="1">IF(ROW()-ROW($L$2:$L$31)+1&gt;ROWS($K$2:$K$31)-COUNTBLANK($K$2:$K$31),"",INDIRECT(ADDRESS(SMALL((IF($K$2:$K$31&lt;&gt;"",ROW($K$2:$K$31),ROW()+ROWS($K$2:$K$31))),ROW()-ROW($L$2:$L$31)+1),COLUMN($K$2:$K$31),4)))</f>
        <v>Unvollständig</v>
      </c>
      <c r="X7" s="488" t="str">
        <f t="array" aca="1" ref="X7" ca="1">IF(ROW()-ROW($M$2:$M$31)+1&gt;ROWS($L$2:$L$31)-COUNTBLANK($L$2:$L$31),"",INDIRECT(ADDRESS(SMALL((IF($L$2:$L$31&lt;&gt;"",ROW($L$2:$L$31),ROW()+ROWS($L$2:$L$31))),ROW()-ROW($M$2:$M$31)+1),COLUMN($L$2:$L$31),4)))</f>
        <v>-----</v>
      </c>
      <c r="Y7" s="488" t="str">
        <f t="array" aca="1" ref="Y7" ca="1">IF(ROW()-ROW($N$2:$N$31)+1&gt;ROWS($M$2:$M$31)-COUNTBLANK($M$2:$M$31),"",INDIRECT(ADDRESS(SMALL((IF($M$2:$M$31&lt;&gt;"",ROW($M$2:$M$31),ROW()+ROWS($M$2:$M$31))),ROW()-ROW($N$2:$N$31)+1),COLUMN($M$2:$M$31),4)))</f>
        <v>-----</v>
      </c>
    </row>
    <row r="8" spans="1:25" ht="46.5" customHeight="1" x14ac:dyDescent="0.25">
      <c r="A8" s="484" t="str">
        <f>IF('Kennzahlenbogen_(KB)'!R26=0,"",'Kennzahlenbogen_(KB)'!R26)</f>
        <v>Unvollständig</v>
      </c>
      <c r="C8" s="489" t="str">
        <f>IF($A8="I.O.","",CONCATENATE('Kennzahlenbogen_(KB)'!B23,'Kennzahlenbogen_(KB)'!C26))</f>
        <v>2b</v>
      </c>
      <c r="D8" s="486" t="str">
        <f>IF($A8="I.O.","",CONCATENATE('Kennzahlenbogen_(KB)'!E23," - Strahlentherapie"))</f>
        <v>Vorstellung in der wöchentlichen prätherapeutischen Konferenz - Strahlentherapie</v>
      </c>
      <c r="E8" s="487" t="str">
        <f>IF(AND('Kennzahlenbogen_(KB)'!L26="",$A8&lt;&gt;"I.O."),"-----",IF($A8="I.O.","",'Kennzahlenbogen_(KB)'!L26))</f>
        <v>-----</v>
      </c>
      <c r="F8" s="487" t="str">
        <f>IF($A8="I.O.","",'Kennzahlenbogen_(KB)'!M26)</f>
        <v>≥ 95%</v>
      </c>
      <c r="G8" s="487" t="str">
        <f>IF(AND('Kennzahlenbogen_(KB)'!O26="",$A8&lt;&gt;"I.O."),"-----",IF($A8="I.O.","",'Kennzahlenbogen_(KB)'!O26))</f>
        <v>-----</v>
      </c>
      <c r="H8" s="485" t="str">
        <f>IF($A8="I.O.","",IF('Kennzahlenbogen_(KB)'!Q26="","-----",'Kennzahlenbogen_(KB)'!Q26))</f>
        <v>-----</v>
      </c>
      <c r="I8" s="485" t="str">
        <f>IF($A8="I.O.","",IF('Kennzahlenbogen_(KB)'!Q27="","-----",'Kennzahlenbogen_(KB)'!Q27))</f>
        <v>-----</v>
      </c>
      <c r="J8" s="485" t="str">
        <f>IF($A8="I.O.","",IF('Kennzahlenbogen_(KB)'!Q28="","-----",'Kennzahlenbogen_(KB)'!Q28))</f>
        <v>n.d.</v>
      </c>
      <c r="K8" s="485" t="str">
        <f>IF($A8="I.O.","",'Kennzahlenbogen_(KB)'!R26)</f>
        <v>Unvollständig</v>
      </c>
      <c r="L8" s="486" t="str">
        <f>IF(AND('Kennzahlenbogen_(KB)'!S26="",$A8&lt;&gt;"I.O."),"-----",IF($A8="I.O.","",'Kennzahlenbogen_(KB)'!S26))</f>
        <v>-----</v>
      </c>
      <c r="M8" s="486" t="str">
        <f>IF(AND('Kennzahlenbogen_(KB)'!T26="",$A8&lt;&gt;"I.O."),"-----",IF($A8="I.O.","",'Kennzahlenbogen_(KB)'!T26))</f>
        <v>-----</v>
      </c>
      <c r="O8" s="485" t="str">
        <f t="array" aca="1" ref="O8" ca="1">IF(ROW()-ROW($D$2:$D$31)+1&gt;ROWS($C$2:$C$31)-COUNTBLANK($C$2:$C$31),"",INDIRECT(ADDRESS(SMALL((IF($C$2:$C$31&lt;&gt;"",ROW($C$2:$C$31),ROW()+ROWS($C$2:$C$31))),ROW()-ROW($D$2:$D$31)+1),COLUMN($C$2:$C$31),4)))</f>
        <v>2b</v>
      </c>
      <c r="P8" s="488" t="str">
        <f t="array" aca="1" ref="P8" ca="1">IF(ROW()-ROW($E$2:$E$31)+1&gt;ROWS($D$2:$D$31)-COUNTBLANK($D$2:$D$31),"",INDIRECT(ADDRESS(SMALL((IF($D$2:$D$31&gt;"",ROW($D$2:$D$31),ROW()+ROWS($D$2:$D$31))),ROW()-ROW($E$2:$E$31)+1),COLUMN($D$2:$D$31),4)))</f>
        <v>Vorstellung in der wöchentlichen prätherapeutischen Konferenz - Strahlentherapie</v>
      </c>
      <c r="Q8" s="485" t="str">
        <f t="array" aca="1" ref="Q8" ca="1">IF(ROW()-ROW($F$2:$F$31)+1&gt;ROWS($E$2:$E$31)-COUNTBLANK($E$2:$E$31),"",INDIRECT(ADDRESS(SMALL((IF($E$2:$E$31&gt;"",ROW($E$2:$E$31),ROW()+ROWS($E$2:$E$31))),ROW()-ROW($F$2:$F$31)+1),COLUMN($E$2:$E$31),4)))</f>
        <v>-----</v>
      </c>
      <c r="R8" s="485" t="str">
        <f t="array" aca="1" ref="R8" ca="1">IF(ROW()-ROW($G$2:$G$31)+1&gt;ROWS($F$2:$F$31)-COUNTBLANK($F$2:$F$31),"",INDIRECT(ADDRESS(SMALL((IF($F$2:$F$31&gt;"",ROW($F$2:$F$31),ROW()+ROWS($F$2:$F$31))),ROW()-ROW($G$2:$G$31)+1),COLUMN($F$2:$F$31),4)))</f>
        <v>≥ 95%</v>
      </c>
      <c r="S8" s="485" t="str">
        <f t="array" aca="1" ref="S8" ca="1">IF(ROW()-ROW($H$2:$H$31)+1&gt;ROWS($G$2:$G$31)-COUNTBLANK($G$2:$G$31),"",INDIRECT(ADDRESS(SMALL((IF($G$2:$G$31&lt;&gt;"",ROW($G$2:$G$31),ROW()+ROWS($G$2:$G$31))),ROW()-ROW($H$2:$H$31)+1),COLUMN($G$2:$G$31),4)))</f>
        <v>-----</v>
      </c>
      <c r="T8" s="485" t="str">
        <f t="array" aca="1" ref="T8" ca="1">IF(ROW()-ROW($I$2:$I$31)+1&gt;ROWS($H$2:$H$31)-COUNTBLANK($H$2:$H$31),"",INDIRECT(ADDRESS(SMALL((IF($H$2:$H$31&lt;&gt;"",ROW($H$2:$H$31),ROW()+ROWS($H$2:$H$31))),ROW()-ROW($I$2:$I$31)+1),COLUMN($H$2:$H$31),4)))</f>
        <v>-----</v>
      </c>
      <c r="U8" s="485" t="str">
        <f t="array" aca="1" ref="U8" ca="1">IF(ROW()-ROW($J$2:$J$31)+1&gt;ROWS($I$2:$I$31)-COUNTBLANK($I$2:$I$31),"",INDIRECT(ADDRESS(SMALL((IF($I$2:$I$31&lt;&gt;"",ROW($I$2:$I$31),ROW()+ROWS($I$2:$I$31))),ROW()-ROW($J$2:$J$31)+1),COLUMN($I$2:$I$31),4)))</f>
        <v>-----</v>
      </c>
      <c r="V8" s="485" t="str">
        <f t="array" aca="1" ref="V8" ca="1">IF(ROW()-ROW($K$2:$K$31)+1&gt;ROWS($J$2:$J$31)-COUNTBLANK($J$2:$J$31),"",INDIRECT(ADDRESS(SMALL((IF($J$2:$J$31&lt;&gt;"",ROW($J$2:$J$31),ROW()+ROWS($J$2:$J$31))),ROW()-ROW($K$2:$K$31)+1),COLUMN($J$2:$J$31),4)))</f>
        <v>n.d.</v>
      </c>
      <c r="W8" s="488" t="str">
        <f t="array" aca="1" ref="W8" ca="1">IF(ROW()-ROW($L$2:$L$31)+1&gt;ROWS($K$2:$K$31)-COUNTBLANK($K$2:$K$31),"",INDIRECT(ADDRESS(SMALL((IF($K$2:$K$31&lt;&gt;"",ROW($K$2:$K$31),ROW()+ROWS($K$2:$K$31))),ROW()-ROW($L$2:$L$31)+1),COLUMN($K$2:$K$31),4)))</f>
        <v>Unvollständig</v>
      </c>
      <c r="X8" s="488" t="str">
        <f t="array" aca="1" ref="X8" ca="1">IF(ROW()-ROW($M$2:$M$31)+1&gt;ROWS($L$2:$L$31)-COUNTBLANK($L$2:$L$31),"",INDIRECT(ADDRESS(SMALL((IF($L$2:$L$31&lt;&gt;"",ROW($L$2:$L$31),ROW()+ROWS($L$2:$L$31))),ROW()-ROW($M$2:$M$31)+1),COLUMN($L$2:$L$31),4)))</f>
        <v>-----</v>
      </c>
      <c r="Y8" s="488" t="str">
        <f t="array" aca="1" ref="Y8" ca="1">IF(ROW()-ROW($N$2:$N$31)+1&gt;ROWS($M$2:$M$31)-COUNTBLANK($M$2:$M$31),"",INDIRECT(ADDRESS(SMALL((IF($M$2:$M$31&lt;&gt;"",ROW($M$2:$M$31),ROW()+ROWS($M$2:$M$31))),ROW()-ROW($N$2:$N$31)+1),COLUMN($M$2:$M$31),4)))</f>
        <v>-----</v>
      </c>
    </row>
    <row r="9" spans="1:25" ht="46.5" customHeight="1" x14ac:dyDescent="0.25">
      <c r="A9" s="484" t="str">
        <f>IF('Kennzahlenbogen_(KB)'!R29=0,"",'Kennzahlenbogen_(KB)'!R29)</f>
        <v>Unvollständig</v>
      </c>
      <c r="C9" s="489" t="str">
        <f>IF($A9="I.O.","",CONCATENATE('Kennzahlenbogen_(KB)'!B29,'Kennzahlenbogen_(KB)'!C29))</f>
        <v>3a</v>
      </c>
      <c r="D9" s="486" t="str">
        <f>IF($A9="I.O.","",CONCATENATE('Kennzahlenbogen_(KB)'!E29," - Primärfälle &gt; pT3a u/o R1 u/o pN+"))</f>
        <v>Vorstellung in der wöchentlichen Tumorkonferenz - Primärfälle &gt; pT3a u/o R1 u/o pN+</v>
      </c>
      <c r="E9" s="487" t="str">
        <f>IF(AND('Kennzahlenbogen_(KB)'!L29="",$A9&lt;&gt;"I.O."),"-----",IF($A9="I.O.","",'Kennzahlenbogen_(KB)'!L29))</f>
        <v>-----</v>
      </c>
      <c r="F9" s="490" t="str">
        <f>IF($A9="I.O.","","100%")</f>
        <v>100%</v>
      </c>
      <c r="G9" s="487" t="str">
        <f>IF(AND('Kennzahlenbogen_(KB)'!O29="",$A9&lt;&gt;"I.O."),"-----",IF($A9="I.O.","",'Kennzahlenbogen_(KB)'!O29))</f>
        <v>-----</v>
      </c>
      <c r="H9" s="485" t="str">
        <f>IF($A9="I.O.","",IF('Kennzahlenbogen_(KB)'!Q29="","-----",'Kennzahlenbogen_(KB)'!Q29))</f>
        <v>-----</v>
      </c>
      <c r="I9" s="485" t="str">
        <f>IF($A9="I.O.","",IF('Kennzahlenbogen_(KB)'!Q30="","-----",'Kennzahlenbogen_(KB)'!Q30))</f>
        <v>-----</v>
      </c>
      <c r="J9" s="485" t="str">
        <f>IF($A9="I.O.","",IF('Kennzahlenbogen_(KB)'!Q31="","-----",'Kennzahlenbogen_(KB)'!Q31))</f>
        <v>n.d.</v>
      </c>
      <c r="K9" s="485" t="str">
        <f>IF($A9="I.O.","",'Kennzahlenbogen_(KB)'!R29)</f>
        <v>Unvollständig</v>
      </c>
      <c r="L9" s="486" t="str">
        <f>IF(AND('Kennzahlenbogen_(KB)'!S29="",$A9&lt;&gt;"I.O."),"-----",IF($A9="I.O.","",'Kennzahlenbogen_(KB)'!S29))</f>
        <v>-----</v>
      </c>
      <c r="M9" s="486" t="str">
        <f>IF(AND('Kennzahlenbogen_(KB)'!T29="",$A9&lt;&gt;"I.O."),"-----",IF($A9="I.O.","",'Kennzahlenbogen_(KB)'!T29))</f>
        <v>-----</v>
      </c>
      <c r="O9" s="485" t="str">
        <f t="array" aca="1" ref="O9" ca="1">IF(ROW()-ROW($D$2:$D$31)+1&gt;ROWS($C$2:$C$31)-COUNTBLANK($C$2:$C$31),"",INDIRECT(ADDRESS(SMALL((IF($C$2:$C$31&lt;&gt;"",ROW($C$2:$C$31),ROW()+ROWS($C$2:$C$31))),ROW()-ROW($D$2:$D$31)+1),COLUMN($C$2:$C$31),4)))</f>
        <v>3a</v>
      </c>
      <c r="P9" s="488" t="str">
        <f t="array" aca="1" ref="P9" ca="1">IF(ROW()-ROW($E$2:$E$31)+1&gt;ROWS($D$2:$D$31)-COUNTBLANK($D$2:$D$31),"",INDIRECT(ADDRESS(SMALL((IF($D$2:$D$31&gt;"",ROW($D$2:$D$31),ROW()+ROWS($D$2:$D$31))),ROW()-ROW($E$2:$E$31)+1),COLUMN($D$2:$D$31),4)))</f>
        <v>Vorstellung in der wöchentlichen Tumorkonferenz - Primärfälle &gt; pT3a u/o R1 u/o pN+</v>
      </c>
      <c r="Q9" s="485" t="str">
        <f t="array" aca="1" ref="Q9" ca="1">IF(ROW()-ROW($F$2:$F$31)+1&gt;ROWS($E$2:$E$31)-COUNTBLANK($E$2:$E$31),"",INDIRECT(ADDRESS(SMALL((IF($E$2:$E$31&gt;"",ROW($E$2:$E$31),ROW()+ROWS($E$2:$E$31))),ROW()-ROW($F$2:$F$31)+1),COLUMN($E$2:$E$31),4)))</f>
        <v>-----</v>
      </c>
      <c r="R9" s="485" t="str">
        <f t="array" aca="1" ref="R9" ca="1">IF(ROW()-ROW($G$2:$G$31)+1&gt;ROWS($F$2:$F$31)-COUNTBLANK($F$2:$F$31),"",INDIRECT(ADDRESS(SMALL((IF($F$2:$F$31&gt;"",ROW($F$2:$F$31),ROW()+ROWS($F$2:$F$31))),ROW()-ROW($G$2:$G$31)+1),COLUMN($F$2:$F$31),4)))</f>
        <v>100%</v>
      </c>
      <c r="S9" s="485" t="str">
        <f t="array" aca="1" ref="S9" ca="1">IF(ROW()-ROW($H$2:$H$31)+1&gt;ROWS($G$2:$G$31)-COUNTBLANK($G$2:$G$31),"",INDIRECT(ADDRESS(SMALL((IF($G$2:$G$31&lt;&gt;"",ROW($G$2:$G$31),ROW()+ROWS($G$2:$G$31))),ROW()-ROW($H$2:$H$31)+1),COLUMN($G$2:$G$31),4)))</f>
        <v>-----</v>
      </c>
      <c r="T9" s="485" t="str">
        <f t="array" aca="1" ref="T9" ca="1">IF(ROW()-ROW($I$2:$I$31)+1&gt;ROWS($H$2:$H$31)-COUNTBLANK($H$2:$H$31),"",INDIRECT(ADDRESS(SMALL((IF($H$2:$H$31&lt;&gt;"",ROW($H$2:$H$31),ROW()+ROWS($H$2:$H$31))),ROW()-ROW($I$2:$I$31)+1),COLUMN($H$2:$H$31),4)))</f>
        <v>-----</v>
      </c>
      <c r="U9" s="485" t="str">
        <f t="array" aca="1" ref="U9" ca="1">IF(ROW()-ROW($J$2:$J$31)+1&gt;ROWS($I$2:$I$31)-COUNTBLANK($I$2:$I$31),"",INDIRECT(ADDRESS(SMALL((IF($I$2:$I$31&lt;&gt;"",ROW($I$2:$I$31),ROW()+ROWS($I$2:$I$31))),ROW()-ROW($J$2:$J$31)+1),COLUMN($I$2:$I$31),4)))</f>
        <v>-----</v>
      </c>
      <c r="V9" s="485" t="str">
        <f t="array" aca="1" ref="V9" ca="1">IF(ROW()-ROW($K$2:$K$31)+1&gt;ROWS($J$2:$J$31)-COUNTBLANK($J$2:$J$31),"",INDIRECT(ADDRESS(SMALL((IF($J$2:$J$31&lt;&gt;"",ROW($J$2:$J$31),ROW()+ROWS($J$2:$J$31))),ROW()-ROW($K$2:$K$31)+1),COLUMN($J$2:$J$31),4)))</f>
        <v>n.d.</v>
      </c>
      <c r="W9" s="488" t="str">
        <f t="array" aca="1" ref="W9" ca="1">IF(ROW()-ROW($L$2:$L$31)+1&gt;ROWS($K$2:$K$31)-COUNTBLANK($K$2:$K$31),"",INDIRECT(ADDRESS(SMALL((IF($K$2:$K$31&lt;&gt;"",ROW($K$2:$K$31),ROW()+ROWS($K$2:$K$31))),ROW()-ROW($L$2:$L$31)+1),COLUMN($K$2:$K$31),4)))</f>
        <v>Unvollständig</v>
      </c>
      <c r="X9" s="488" t="str">
        <f t="array" aca="1" ref="X9" ca="1">IF(ROW()-ROW($M$2:$M$31)+1&gt;ROWS($L$2:$L$31)-COUNTBLANK($L$2:$L$31),"",INDIRECT(ADDRESS(SMALL((IF($L$2:$L$31&lt;&gt;"",ROW($L$2:$L$31),ROW()+ROWS($L$2:$L$31))),ROW()-ROW($M$2:$M$31)+1),COLUMN($L$2:$L$31),4)))</f>
        <v>-----</v>
      </c>
      <c r="Y9" s="488" t="str">
        <f t="array" aca="1" ref="Y9" ca="1">IF(ROW()-ROW($N$2:$N$31)+1&gt;ROWS($M$2:$M$31)-COUNTBLANK($M$2:$M$31),"",INDIRECT(ADDRESS(SMALL((IF($M$2:$M$31&lt;&gt;"",ROW($M$2:$M$31),ROW()+ROWS($M$2:$M$31))),ROW()-ROW($N$2:$N$31)+1),COLUMN($M$2:$M$31),4)))</f>
        <v>-----</v>
      </c>
    </row>
    <row r="10" spans="1:25" ht="46.5" customHeight="1" x14ac:dyDescent="0.25">
      <c r="A10" s="484" t="str">
        <f>IF('Kennzahlenbogen_(KB)'!R32=0,"",'Kennzahlenbogen_(KB)'!R32)</f>
        <v>Unvollständig</v>
      </c>
      <c r="C10" s="489" t="str">
        <f>IF($A10="I.O.","",CONCATENATE('Kennzahlenbogen_(KB)'!B29,'Kennzahlenbogen_(KB)'!C32))</f>
        <v>3b</v>
      </c>
      <c r="D10" s="486" t="str">
        <f>IF($A10="I.O.","",CONCATENATE('Kennzahlenbogen_(KB)'!E29," - Primärfälle mit primär M1"))</f>
        <v>Vorstellung in der wöchentlichen Tumorkonferenz - Primärfälle mit primär M1</v>
      </c>
      <c r="E10" s="487" t="str">
        <f>IF(AND('Kennzahlenbogen_(KB)'!L32="",$A10&lt;&gt;"I.O."),"-----",IF($A10="I.O.","",'Kennzahlenbogen_(KB)'!L32))</f>
        <v>-----</v>
      </c>
      <c r="F10" s="490" t="str">
        <f>IF($A10="I.O.","","100%")</f>
        <v>100%</v>
      </c>
      <c r="G10" s="487" t="str">
        <f>IF(AND('Kennzahlenbogen_(KB)'!O32="",$A10&lt;&gt;"I.O."),"-----",IF($A10="I.O.","",'Kennzahlenbogen_(KB)'!O32))</f>
        <v>-----</v>
      </c>
      <c r="H10" s="485" t="str">
        <f>IF($A10="I.O.","",IF('Kennzahlenbogen_(KB)'!Q32="","-----",'Kennzahlenbogen_(KB)'!Q32))</f>
        <v>-----</v>
      </c>
      <c r="I10" s="485" t="str">
        <f>IF($A10="I.O.","",IF('Kennzahlenbogen_(KB)'!Q33="","-----",'Kennzahlenbogen_(KB)'!Q33))</f>
        <v>-----</v>
      </c>
      <c r="J10" s="485" t="str">
        <f>IF($A10="I.O.","",IF('Kennzahlenbogen_(KB)'!Q34="","-----",'Kennzahlenbogen_(KB)'!Q34))</f>
        <v>n.d.</v>
      </c>
      <c r="K10" s="485" t="str">
        <f>IF($A10="I.O.","",'Kennzahlenbogen_(KB)'!R32)</f>
        <v>Unvollständig</v>
      </c>
      <c r="L10" s="486" t="str">
        <f>IF(AND('Kennzahlenbogen_(KB)'!S32="",$A10&lt;&gt;"I.O."),"-----",IF($A10="I.O.","",'Kennzahlenbogen_(KB)'!S32))</f>
        <v>-----</v>
      </c>
      <c r="M10" s="486" t="str">
        <f>IF(AND('Kennzahlenbogen_(KB)'!T32="",$A10&lt;&gt;"I.O."),"-----",IF($A10="I.O.","",'Kennzahlenbogen_(KB)'!T32))</f>
        <v>-----</v>
      </c>
      <c r="O10" s="485" t="str">
        <f t="array" aca="1" ref="O10" ca="1">IF(ROW()-ROW($D$2:$D$31)+1&gt;ROWS($C$2:$C$31)-COUNTBLANK($C$2:$C$31),"",INDIRECT(ADDRESS(SMALL((IF($C$2:$C$31&lt;&gt;"",ROW($C$2:$C$31),ROW()+ROWS($C$2:$C$31))),ROW()-ROW($D$2:$D$31)+1),COLUMN($C$2:$C$31),4)))</f>
        <v>3b</v>
      </c>
      <c r="P10" s="488" t="str">
        <f t="array" aca="1" ref="P10" ca="1">IF(ROW()-ROW($E$2:$E$31)+1&gt;ROWS($D$2:$D$31)-COUNTBLANK($D$2:$D$31),"",INDIRECT(ADDRESS(SMALL((IF($D$2:$D$31&gt;"",ROW($D$2:$D$31),ROW()+ROWS($D$2:$D$31))),ROW()-ROW($E$2:$E$31)+1),COLUMN($D$2:$D$31),4)))</f>
        <v>Vorstellung in der wöchentlichen Tumorkonferenz - Primärfälle mit primär M1</v>
      </c>
      <c r="Q10" s="485" t="str">
        <f t="array" aca="1" ref="Q10" ca="1">IF(ROW()-ROW($F$2:$F$31)+1&gt;ROWS($E$2:$E$31)-COUNTBLANK($E$2:$E$31),"",INDIRECT(ADDRESS(SMALL((IF($E$2:$E$31&gt;"",ROW($E$2:$E$31),ROW()+ROWS($E$2:$E$31))),ROW()-ROW($F$2:$F$31)+1),COLUMN($E$2:$E$31),4)))</f>
        <v>-----</v>
      </c>
      <c r="R10" s="485" t="str">
        <f t="array" aca="1" ref="R10" ca="1">IF(ROW()-ROW($G$2:$G$31)+1&gt;ROWS($F$2:$F$31)-COUNTBLANK($F$2:$F$31),"",INDIRECT(ADDRESS(SMALL((IF($F$2:$F$31&gt;"",ROW($F$2:$F$31),ROW()+ROWS($F$2:$F$31))),ROW()-ROW($G$2:$G$31)+1),COLUMN($F$2:$F$31),4)))</f>
        <v>100%</v>
      </c>
      <c r="S10" s="485" t="str">
        <f t="array" aca="1" ref="S10" ca="1">IF(ROW()-ROW($H$2:$H$31)+1&gt;ROWS($G$2:$G$31)-COUNTBLANK($G$2:$G$31),"",INDIRECT(ADDRESS(SMALL((IF($G$2:$G$31&lt;&gt;"",ROW($G$2:$G$31),ROW()+ROWS($G$2:$G$31))),ROW()-ROW($H$2:$H$31)+1),COLUMN($G$2:$G$31),4)))</f>
        <v>-----</v>
      </c>
      <c r="T10" s="485" t="str">
        <f t="array" aca="1" ref="T10" ca="1">IF(ROW()-ROW($I$2:$I$31)+1&gt;ROWS($H$2:$H$31)-COUNTBLANK($H$2:$H$31),"",INDIRECT(ADDRESS(SMALL((IF($H$2:$H$31&lt;&gt;"",ROW($H$2:$H$31),ROW()+ROWS($H$2:$H$31))),ROW()-ROW($I$2:$I$31)+1),COLUMN($H$2:$H$31),4)))</f>
        <v>-----</v>
      </c>
      <c r="U10" s="485" t="str">
        <f t="array" aca="1" ref="U10" ca="1">IF(ROW()-ROW($J$2:$J$31)+1&gt;ROWS($I$2:$I$31)-COUNTBLANK($I$2:$I$31),"",INDIRECT(ADDRESS(SMALL((IF($I$2:$I$31&lt;&gt;"",ROW($I$2:$I$31),ROW()+ROWS($I$2:$I$31))),ROW()-ROW($J$2:$J$31)+1),COLUMN($I$2:$I$31),4)))</f>
        <v>-----</v>
      </c>
      <c r="V10" s="485" t="str">
        <f t="array" aca="1" ref="V10" ca="1">IF(ROW()-ROW($K$2:$K$31)+1&gt;ROWS($J$2:$J$31)-COUNTBLANK($J$2:$J$31),"",INDIRECT(ADDRESS(SMALL((IF($J$2:$J$31&lt;&gt;"",ROW($J$2:$J$31),ROW()+ROWS($J$2:$J$31))),ROW()-ROW($K$2:$K$31)+1),COLUMN($J$2:$J$31),4)))</f>
        <v>n.d.</v>
      </c>
      <c r="W10" s="488" t="str">
        <f t="array" aca="1" ref="W10" ca="1">IF(ROW()-ROW($L$2:$L$31)+1&gt;ROWS($K$2:$K$31)-COUNTBLANK($K$2:$K$31),"",INDIRECT(ADDRESS(SMALL((IF($K$2:$K$31&lt;&gt;"",ROW($K$2:$K$31),ROW()+ROWS($K$2:$K$31))),ROW()-ROW($L$2:$L$31)+1),COLUMN($K$2:$K$31),4)))</f>
        <v>Unvollständig</v>
      </c>
      <c r="X10" s="488" t="str">
        <f t="array" aca="1" ref="X10" ca="1">IF(ROW()-ROW($M$2:$M$31)+1&gt;ROWS($L$2:$L$31)-COUNTBLANK($L$2:$L$31),"",INDIRECT(ADDRESS(SMALL((IF($L$2:$L$31&lt;&gt;"",ROW($L$2:$L$31),ROW()+ROWS($L$2:$L$31))),ROW()-ROW($M$2:$M$31)+1),COLUMN($L$2:$L$31),4)))</f>
        <v>-----</v>
      </c>
      <c r="Y10" s="488" t="str">
        <f t="array" aca="1" ref="Y10" ca="1">IF(ROW()-ROW($N$2:$N$31)+1&gt;ROWS($M$2:$M$31)-COUNTBLANK($M$2:$M$31),"",INDIRECT(ADDRESS(SMALL((IF($M$2:$M$31&lt;&gt;"",ROW($M$2:$M$31),ROW()+ROWS($M$2:$M$31))),ROW()-ROW($N$2:$N$31)+1),COLUMN($M$2:$M$31),4)))</f>
        <v>-----</v>
      </c>
    </row>
    <row r="11" spans="1:25" ht="46.5" customHeight="1" x14ac:dyDescent="0.25">
      <c r="A11" s="484" t="str">
        <f>IF('Kennzahlenbogen_(KB)'!R35=0,"",'Kennzahlenbogen_(KB)'!R35)</f>
        <v>Unvollständig</v>
      </c>
      <c r="C11" s="489" t="str">
        <f>IF($A11="I.O.","",CONCATENATE('Kennzahlenbogen_(KB)'!B29,'Kennzahlenbogen_(KB)'!C35))</f>
        <v>3c</v>
      </c>
      <c r="D11" s="486" t="str">
        <f>IF($A11="I.O.","",CONCATENATE('Kennzahlenbogen_(KB)'!E29," - Patienten mit neuaufgetretenem Rezidiv und/oder 
Fernmetastasen (= Kennzahl 1c)"))</f>
        <v>Vorstellung in der wöchentlichen Tumorkonferenz - Patienten mit neuaufgetretenem Rezidiv und/oder 
Fernmetastasen (= Kennzahl 1c)</v>
      </c>
      <c r="E11" s="487" t="str">
        <f>IF(AND('Kennzahlenbogen_(KB)'!L35="",$A11&lt;&gt;"I.O."),"-----",IF($A11="I.O.","",'Kennzahlenbogen_(KB)'!L35))</f>
        <v>-----</v>
      </c>
      <c r="F11" s="490" t="str">
        <f t="shared" ref="F11" si="1">IF($A11="I.O.","","100%")</f>
        <v>100%</v>
      </c>
      <c r="G11" s="487" t="str">
        <f>IF(AND('Kennzahlenbogen_(KB)'!O35="",$A11&lt;&gt;"I.O."),"-----",IF($A11="I.O.","",'Kennzahlenbogen_(KB)'!O35))</f>
        <v>-----</v>
      </c>
      <c r="H11" s="485" t="str">
        <f>IF($A11="I.O.","",IF('Kennzahlenbogen_(KB)'!Q35="","-----",'Kennzahlenbogen_(KB)'!Q35))</f>
        <v>-----</v>
      </c>
      <c r="I11" s="485">
        <f>IF($A11="I.O.","",IF('Kennzahlenbogen_(KB)'!Q36="","-----",'Kennzahlenbogen_(KB)'!Q36))</f>
        <v>0</v>
      </c>
      <c r="J11" s="485" t="str">
        <f>IF($A11="I.O.","",IF('Kennzahlenbogen_(KB)'!Q37="","-----",'Kennzahlenbogen_(KB)'!Q37))</f>
        <v>n.d.</v>
      </c>
      <c r="K11" s="485" t="str">
        <f>IF($A11="I.O.","",'Kennzahlenbogen_(KB)'!R35)</f>
        <v>Unvollständig</v>
      </c>
      <c r="L11" s="486" t="str">
        <f>IF(AND('Kennzahlenbogen_(KB)'!S35="",$A11&lt;&gt;"I.O."),"-----",IF($A11="I.O.","",'Kennzahlenbogen_(KB)'!S35))</f>
        <v>-----</v>
      </c>
      <c r="M11" s="486" t="str">
        <f>IF(AND('Kennzahlenbogen_(KB)'!T35="",$A11&lt;&gt;"I.O."),"-----",IF($A11="I.O.","",'Kennzahlenbogen_(KB)'!T35))</f>
        <v>-----</v>
      </c>
      <c r="O11" s="485" t="str">
        <f t="array" aca="1" ref="O11" ca="1">IF(ROW()-ROW($D$2:$D$31)+1&gt;ROWS($C$2:$C$31)-COUNTBLANK($C$2:$C$31),"",INDIRECT(ADDRESS(SMALL((IF($C$2:$C$31&lt;&gt;"",ROW($C$2:$C$31),ROW()+ROWS($C$2:$C$31))),ROW()-ROW($D$2:$D$31)+1),COLUMN($C$2:$C$31),4)))</f>
        <v>3c</v>
      </c>
      <c r="P11" s="488" t="str">
        <f t="array" aca="1" ref="P11" ca="1">IF(ROW()-ROW($E$2:$E$31)+1&gt;ROWS($D$2:$D$31)-COUNTBLANK($D$2:$D$31),"",INDIRECT(ADDRESS(SMALL((IF($D$2:$D$31&gt;"",ROW($D$2:$D$31),ROW()+ROWS($D$2:$D$31))),ROW()-ROW($E$2:$E$31)+1),COLUMN($D$2:$D$31),4)))</f>
        <v>Vorstellung in der wöchentlichen Tumorkonferenz - Patienten mit neuaufgetretenem Rezidiv und/oder 
Fernmetastasen (= Kennzahl 1c)</v>
      </c>
      <c r="Q11" s="485" t="str">
        <f t="array" aca="1" ref="Q11" ca="1">IF(ROW()-ROW($F$2:$F$31)+1&gt;ROWS($E$2:$E$31)-COUNTBLANK($E$2:$E$31),"",INDIRECT(ADDRESS(SMALL((IF($E$2:$E$31&gt;"",ROW($E$2:$E$31),ROW()+ROWS($E$2:$E$31))),ROW()-ROW($F$2:$F$31)+1),COLUMN($E$2:$E$31),4)))</f>
        <v>-----</v>
      </c>
      <c r="R11" s="485" t="str">
        <f t="array" aca="1" ref="R11" ca="1">IF(ROW()-ROW($G$2:$G$31)+1&gt;ROWS($F$2:$F$31)-COUNTBLANK($F$2:$F$31),"",INDIRECT(ADDRESS(SMALL((IF($F$2:$F$31&gt;"",ROW($F$2:$F$31),ROW()+ROWS($F$2:$F$31))),ROW()-ROW($G$2:$G$31)+1),COLUMN($F$2:$F$31),4)))</f>
        <v>100%</v>
      </c>
      <c r="S11" s="485" t="str">
        <f t="array" aca="1" ref="S11" ca="1">IF(ROW()-ROW($H$2:$H$31)+1&gt;ROWS($G$2:$G$31)-COUNTBLANK($G$2:$G$31),"",INDIRECT(ADDRESS(SMALL((IF($G$2:$G$31&lt;&gt;"",ROW($G$2:$G$31),ROW()+ROWS($G$2:$G$31))),ROW()-ROW($H$2:$H$31)+1),COLUMN($G$2:$G$31),4)))</f>
        <v>-----</v>
      </c>
      <c r="T11" s="485" t="str">
        <f t="array" aca="1" ref="T11" ca="1">IF(ROW()-ROW($I$2:$I$31)+1&gt;ROWS($H$2:$H$31)-COUNTBLANK($H$2:$H$31),"",INDIRECT(ADDRESS(SMALL((IF($H$2:$H$31&lt;&gt;"",ROW($H$2:$H$31),ROW()+ROWS($H$2:$H$31))),ROW()-ROW($I$2:$I$31)+1),COLUMN($H$2:$H$31),4)))</f>
        <v>-----</v>
      </c>
      <c r="U11" s="485">
        <f t="array" aca="1" ref="U11" ca="1">IF(ROW()-ROW($J$2:$J$31)+1&gt;ROWS($I$2:$I$31)-COUNTBLANK($I$2:$I$31),"",INDIRECT(ADDRESS(SMALL((IF($I$2:$I$31&lt;&gt;"",ROW($I$2:$I$31),ROW()+ROWS($I$2:$I$31))),ROW()-ROW($J$2:$J$31)+1),COLUMN($I$2:$I$31),4)))</f>
        <v>0</v>
      </c>
      <c r="V11" s="485" t="str">
        <f t="array" aca="1" ref="V11" ca="1">IF(ROW()-ROW($K$2:$K$31)+1&gt;ROWS($J$2:$J$31)-COUNTBLANK($J$2:$J$31),"",INDIRECT(ADDRESS(SMALL((IF($J$2:$J$31&lt;&gt;"",ROW($J$2:$J$31),ROW()+ROWS($J$2:$J$31))),ROW()-ROW($K$2:$K$31)+1),COLUMN($J$2:$J$31),4)))</f>
        <v>n.d.</v>
      </c>
      <c r="W11" s="488" t="str">
        <f t="array" aca="1" ref="W11" ca="1">IF(ROW()-ROW($L$2:$L$31)+1&gt;ROWS($K$2:$K$31)-COUNTBLANK($K$2:$K$31),"",INDIRECT(ADDRESS(SMALL((IF($K$2:$K$31&lt;&gt;"",ROW($K$2:$K$31),ROW()+ROWS($K$2:$K$31))),ROW()-ROW($L$2:$L$31)+1),COLUMN($K$2:$K$31),4)))</f>
        <v>Unvollständig</v>
      </c>
      <c r="X11" s="488" t="str">
        <f t="array" aca="1" ref="X11" ca="1">IF(ROW()-ROW($M$2:$M$31)+1&gt;ROWS($L$2:$L$31)-COUNTBLANK($L$2:$L$31),"",INDIRECT(ADDRESS(SMALL((IF($L$2:$L$31&lt;&gt;"",ROW($L$2:$L$31),ROW()+ROWS($L$2:$L$31))),ROW()-ROW($M$2:$M$31)+1),COLUMN($L$2:$L$31),4)))</f>
        <v>-----</v>
      </c>
      <c r="Y11" s="488" t="str">
        <f t="array" aca="1" ref="Y11" ca="1">IF(ROW()-ROW($N$2:$N$31)+1&gt;ROWS($M$2:$M$31)-COUNTBLANK($M$2:$M$31),"",INDIRECT(ADDRESS(SMALL((IF($M$2:$M$31&lt;&gt;"",ROW($M$2:$M$31),ROW()+ROWS($M$2:$M$31))),ROW()-ROW($N$2:$N$31)+1),COLUMN($M$2:$M$31),4)))</f>
        <v>-----</v>
      </c>
    </row>
    <row r="12" spans="1:25" ht="46.5" customHeight="1" x14ac:dyDescent="0.25">
      <c r="A12" s="484" t="str">
        <f>IF('Kennzahlenbogen_(KB)'!R38=0,"",'Kennzahlenbogen_(KB)'!R38)</f>
        <v>Unvollständig</v>
      </c>
      <c r="C12" s="485">
        <f>IF($A12="I.O.","",'Kennzahlenbogen_(KB)'!B38)</f>
        <v>4</v>
      </c>
      <c r="D12" s="486" t="str">
        <f>IF($A12="I.O.","",'Kennzahlenbogen_(KB)'!E38)</f>
        <v>Active-Surveillance (AS)</v>
      </c>
      <c r="E12" s="487" t="str">
        <f>IF(AND('Kennzahlenbogen_(KB)'!L38="",$A12&lt;&gt;"I.O."),"-----",IF($A12="I.O.","",'Kennzahlenbogen_(KB)'!L38))</f>
        <v>&lt; 0,01%</v>
      </c>
      <c r="F12" s="487" t="str">
        <f>IF($A12="I.O.","",'Kennzahlenbogen_(KB)'!M38)</f>
        <v>Derzeit keine
Vorgaben</v>
      </c>
      <c r="G12" s="487" t="str">
        <f>IF(AND('Kennzahlenbogen_(KB)'!O38="",$A12&lt;&gt;"I.O."),"-----",IF($A12="I.O.","",'Kennzahlenbogen_(KB)'!O38))</f>
        <v>-----</v>
      </c>
      <c r="H12" s="485">
        <f>IF($A12="I.O.","",IF('Kennzahlenbogen_(KB)'!Q38="","-----",'Kennzahlenbogen_(KB)'!Q38))</f>
        <v>0</v>
      </c>
      <c r="I12" s="485">
        <f>IF($A12="I.O.","",IF('Kennzahlenbogen_(KB)'!Q39="","-----",'Kennzahlenbogen_(KB)'!Q39))</f>
        <v>0</v>
      </c>
      <c r="J12" s="485" t="str">
        <f>IF($A12="I.O.","",IF('Kennzahlenbogen_(KB)'!Q40="",0,'Kennzahlenbogen_(KB)'!Q40))</f>
        <v>n.d.</v>
      </c>
      <c r="K12" s="485" t="str">
        <f>IF($A12="I.O.","",'Kennzahlenbogen_(KB)'!R38)</f>
        <v>Unvollständig</v>
      </c>
      <c r="L12" s="486" t="str">
        <f>IF(AND('Kennzahlenbogen_(KB)'!S38="",$A12&lt;&gt;"I.O."),"-----",IF($A12="I.O.","",'Kennzahlenbogen_(KB)'!S38))</f>
        <v>-----</v>
      </c>
      <c r="M12" s="486" t="str">
        <f>IF(AND('Kennzahlenbogen_(KB)'!T38="",$A12&lt;&gt;"I.O."),"-----",IF($A12="I.O.","",'Kennzahlenbogen_(KB)'!T38))</f>
        <v>-----</v>
      </c>
      <c r="O12" s="485">
        <f t="array" aca="1" ref="O12" ca="1">IF(ROW()-ROW($D$2:$D$31)+1&gt;ROWS($C$2:$C$31)-COUNTBLANK($C$2:$C$31),"",INDIRECT(ADDRESS(SMALL((IF($C$2:$C$31&lt;&gt;"",ROW($C$2:$C$31),ROW()+ROWS($C$2:$C$31))),ROW()-ROW($D$2:$D$31)+1),COLUMN($C$2:$C$31),4)))</f>
        <v>4</v>
      </c>
      <c r="P12" s="488" t="str">
        <f t="array" aca="1" ref="P12" ca="1">IF(ROW()-ROW($E$2:$E$31)+1&gt;ROWS($D$2:$D$31)-COUNTBLANK($D$2:$D$31),"",INDIRECT(ADDRESS(SMALL((IF($D$2:$D$31&gt;"",ROW($D$2:$D$31),ROW()+ROWS($D$2:$D$31))),ROW()-ROW($E$2:$E$31)+1),COLUMN($D$2:$D$31),4)))</f>
        <v>Active-Surveillance (AS)</v>
      </c>
      <c r="Q12" s="485" t="str">
        <f t="array" aca="1" ref="Q12" ca="1">IF(ROW()-ROW($F$2:$F$31)+1&gt;ROWS($E$2:$E$31)-COUNTBLANK($E$2:$E$31),"",INDIRECT(ADDRESS(SMALL((IF($E$2:$E$31&gt;"",ROW($E$2:$E$31),ROW()+ROWS($E$2:$E$31))),ROW()-ROW($F$2:$F$31)+1),COLUMN($E$2:$E$31),4)))</f>
        <v>&lt; 0,01%</v>
      </c>
      <c r="R12" s="485" t="str">
        <f t="array" aca="1" ref="R12" ca="1">IF(ROW()-ROW($G$2:$G$31)+1&gt;ROWS($F$2:$F$31)-COUNTBLANK($F$2:$F$31),"",INDIRECT(ADDRESS(SMALL((IF($F$2:$F$31&gt;"",ROW($F$2:$F$31),ROW()+ROWS($F$2:$F$31))),ROW()-ROW($G$2:$G$31)+1),COLUMN($F$2:$F$31),4)))</f>
        <v>Derzeit keine
Vorgaben</v>
      </c>
      <c r="S12" s="485" t="str">
        <f t="array" aca="1" ref="S12" ca="1">IF(ROW()-ROW($H$2:$H$31)+1&gt;ROWS($G$2:$G$31)-COUNTBLANK($G$2:$G$31),"",INDIRECT(ADDRESS(SMALL((IF($G$2:$G$31&lt;&gt;"",ROW($G$2:$G$31),ROW()+ROWS($G$2:$G$31))),ROW()-ROW($H$2:$H$31)+1),COLUMN($G$2:$G$31),4)))</f>
        <v>-----</v>
      </c>
      <c r="T12" s="485">
        <f t="array" aca="1" ref="T12" ca="1">IF(ROW()-ROW($I$2:$I$31)+1&gt;ROWS($H$2:$H$31)-COUNTBLANK($H$2:$H$31),"",INDIRECT(ADDRESS(SMALL((IF($H$2:$H$31&lt;&gt;"",ROW($H$2:$H$31),ROW()+ROWS($H$2:$H$31))),ROW()-ROW($I$2:$I$31)+1),COLUMN($H$2:$H$31),4)))</f>
        <v>0</v>
      </c>
      <c r="U12" s="485">
        <f t="array" aca="1" ref="U12" ca="1">IF(ROW()-ROW($J$2:$J$31)+1&gt;ROWS($I$2:$I$31)-COUNTBLANK($I$2:$I$31),"",INDIRECT(ADDRESS(SMALL((IF($I$2:$I$31&lt;&gt;"",ROW($I$2:$I$31),ROW()+ROWS($I$2:$I$31))),ROW()-ROW($J$2:$J$31)+1),COLUMN($I$2:$I$31),4)))</f>
        <v>0</v>
      </c>
      <c r="V12" s="485" t="str">
        <f t="array" aca="1" ref="V12" ca="1">IF(ROW()-ROW($K$2:$K$31)+1&gt;ROWS($J$2:$J$31)-COUNTBLANK($J$2:$J$31),"",INDIRECT(ADDRESS(SMALL((IF($J$2:$J$31&lt;&gt;"",ROW($J$2:$J$31),ROW()+ROWS($J$2:$J$31))),ROW()-ROW($K$2:$K$31)+1),COLUMN($J$2:$J$31),4)))</f>
        <v>n.d.</v>
      </c>
      <c r="W12" s="488" t="str">
        <f t="array" aca="1" ref="W12" ca="1">IF(ROW()-ROW($L$2:$L$31)+1&gt;ROWS($K$2:$K$31)-COUNTBLANK($K$2:$K$31),"",INDIRECT(ADDRESS(SMALL((IF($K$2:$K$31&lt;&gt;"",ROW($K$2:$K$31),ROW()+ROWS($K$2:$K$31))),ROW()-ROW($L$2:$L$31)+1),COLUMN($K$2:$K$31),4)))</f>
        <v>Unvollständig</v>
      </c>
      <c r="X12" s="488" t="str">
        <f t="array" aca="1" ref="X12" ca="1">IF(ROW()-ROW($M$2:$M$31)+1&gt;ROWS($L$2:$L$31)-COUNTBLANK($L$2:$L$31),"",INDIRECT(ADDRESS(SMALL((IF($L$2:$L$31&lt;&gt;"",ROW($L$2:$L$31),ROW()+ROWS($L$2:$L$31))),ROW()-ROW($M$2:$M$31)+1),COLUMN($L$2:$L$31),4)))</f>
        <v>-----</v>
      </c>
      <c r="Y12" s="488" t="str">
        <f t="array" aca="1" ref="Y12" ca="1">IF(ROW()-ROW($N$2:$N$31)+1&gt;ROWS($M$2:$M$31)-COUNTBLANK($M$2:$M$31),"",INDIRECT(ADDRESS(SMALL((IF($M$2:$M$31&lt;&gt;"",ROW($M$2:$M$31),ROW()+ROWS($M$2:$M$31))),ROW()-ROW($N$2:$N$31)+1),COLUMN($M$2:$M$31),4)))</f>
        <v>-----</v>
      </c>
    </row>
    <row r="13" spans="1:25" ht="46.5" customHeight="1" x14ac:dyDescent="0.25">
      <c r="A13" s="484" t="str">
        <f>IF('Kennzahlenbogen_(KB)'!R41=0,"",'Kennzahlenbogen_(KB)'!R41)</f>
        <v>Unvollständig</v>
      </c>
      <c r="C13" s="489">
        <f>IF($A13="I.O.","",'Kennzahlenbogen_(KB)'!B41)</f>
        <v>5</v>
      </c>
      <c r="D13" s="486" t="str">
        <f>IF($A13="I.O.","",'Kennzahlenbogen_(KB)'!E41)</f>
        <v>Strahlentherapie und hormonablative Therapie bei lokal begrenztem PCa mit hohem Risiko</v>
      </c>
      <c r="E13" s="487" t="str">
        <f>IF(AND('Kennzahlenbogen_(KB)'!L41="",$A13&lt;&gt;"I.O."),"-----",IF($A13="I.O.","",'Kennzahlenbogen_(KB)'!L41))</f>
        <v>-----</v>
      </c>
      <c r="F13" s="487" t="str">
        <f>IF($A13="I.O.","",'Kennzahlenbogen_(KB)'!M41)</f>
        <v>≥ 70%</v>
      </c>
      <c r="G13" s="487" t="str">
        <f>IF(AND('Kennzahlenbogen_(KB)'!O41="",$A13&lt;&gt;"I.O."),"-----",IF($A13="I.O.","",'Kennzahlenbogen_(KB)'!O41))</f>
        <v>-----</v>
      </c>
      <c r="H13" s="485" t="str">
        <f>IF($A13="I.O.","",IF('Kennzahlenbogen_(KB)'!Q41="","-----",'Kennzahlenbogen_(KB)'!Q41))</f>
        <v>-----</v>
      </c>
      <c r="I13" s="485">
        <f>IF($A13="I.O.","",IF('Kennzahlenbogen_(KB)'!Q42="","-----",'Kennzahlenbogen_(KB)'!Q42))</f>
        <v>0</v>
      </c>
      <c r="J13" s="485" t="str">
        <f>IF($A13="I.O.","",IF('Kennzahlenbogen_(KB)'!Q43="","-----",'Kennzahlenbogen_(KB)'!Q43))</f>
        <v>n.d.</v>
      </c>
      <c r="K13" s="485" t="str">
        <f>IF($A13="I.O.","",'Kennzahlenbogen_(KB)'!R41)</f>
        <v>Unvollständig</v>
      </c>
      <c r="L13" s="486" t="str">
        <f>IF(AND('Kennzahlenbogen_(KB)'!S41="",$A13&lt;&gt;"I.O."),"-----",IF($A13="I.O.","",'Kennzahlenbogen_(KB)'!S41))</f>
        <v>-----</v>
      </c>
      <c r="M13" s="486" t="str">
        <f>IF(AND('Kennzahlenbogen_(KB)'!T41="",$A13&lt;&gt;"I.O."),"-----",IF($A13="I.O.","",'Kennzahlenbogen_(KB)'!T41))</f>
        <v>-----</v>
      </c>
      <c r="O13" s="485">
        <f t="array" aca="1" ref="O13" ca="1">IF(ROW()-ROW($D$2:$D$31)+1&gt;ROWS($C$2:$C$31)-COUNTBLANK($C$2:$C$31),"",INDIRECT(ADDRESS(SMALL((IF($C$2:$C$31&lt;&gt;"",ROW($C$2:$C$31),ROW()+ROWS($C$2:$C$31))),ROW()-ROW($D$2:$D$31)+1),COLUMN($C$2:$C$31),4)))</f>
        <v>5</v>
      </c>
      <c r="P13" s="488" t="str">
        <f t="array" aca="1" ref="P13" ca="1">IF(ROW()-ROW($E$2:$E$31)+1&gt;ROWS($D$2:$D$31)-COUNTBLANK($D$2:$D$31),"",INDIRECT(ADDRESS(SMALL((IF($D$2:$D$31&gt;"",ROW($D$2:$D$31),ROW()+ROWS($D$2:$D$31))),ROW()-ROW($E$2:$E$31)+1),COLUMN($D$2:$D$31),4)))</f>
        <v>Strahlentherapie und hormonablative Therapie bei lokal begrenztem PCa mit hohem Risiko</v>
      </c>
      <c r="Q13" s="485" t="str">
        <f t="array" aca="1" ref="Q13" ca="1">IF(ROW()-ROW($F$2:$F$31)+1&gt;ROWS($E$2:$E$31)-COUNTBLANK($E$2:$E$31),"",INDIRECT(ADDRESS(SMALL((IF($E$2:$E$31&gt;"",ROW($E$2:$E$31),ROW()+ROWS($E$2:$E$31))),ROW()-ROW($F$2:$F$31)+1),COLUMN($E$2:$E$31),4)))</f>
        <v>-----</v>
      </c>
      <c r="R13" s="485" t="str">
        <f t="array" aca="1" ref="R13" ca="1">IF(ROW()-ROW($G$2:$G$31)+1&gt;ROWS($F$2:$F$31)-COUNTBLANK($F$2:$F$31),"",INDIRECT(ADDRESS(SMALL((IF($F$2:$F$31&gt;"",ROW($F$2:$F$31),ROW()+ROWS($F$2:$F$31))),ROW()-ROW($G$2:$G$31)+1),COLUMN($F$2:$F$31),4)))</f>
        <v>≥ 70%</v>
      </c>
      <c r="S13" s="485" t="str">
        <f t="array" aca="1" ref="S13" ca="1">IF(ROW()-ROW($H$2:$H$31)+1&gt;ROWS($G$2:$G$31)-COUNTBLANK($G$2:$G$31),"",INDIRECT(ADDRESS(SMALL((IF($G$2:$G$31&lt;&gt;"",ROW($G$2:$G$31),ROW()+ROWS($G$2:$G$31))),ROW()-ROW($H$2:$H$31)+1),COLUMN($G$2:$G$31),4)))</f>
        <v>-----</v>
      </c>
      <c r="T13" s="485" t="str">
        <f t="array" aca="1" ref="T13" ca="1">IF(ROW()-ROW($I$2:$I$31)+1&gt;ROWS($H$2:$H$31)-COUNTBLANK($H$2:$H$31),"",INDIRECT(ADDRESS(SMALL((IF($H$2:$H$31&lt;&gt;"",ROW($H$2:$H$31),ROW()+ROWS($H$2:$H$31))),ROW()-ROW($I$2:$I$31)+1),COLUMN($H$2:$H$31),4)))</f>
        <v>-----</v>
      </c>
      <c r="U13" s="485">
        <f t="array" aca="1" ref="U13" ca="1">IF(ROW()-ROW($J$2:$J$31)+1&gt;ROWS($I$2:$I$31)-COUNTBLANK($I$2:$I$31),"",INDIRECT(ADDRESS(SMALL((IF($I$2:$I$31&lt;&gt;"",ROW($I$2:$I$31),ROW()+ROWS($I$2:$I$31))),ROW()-ROW($J$2:$J$31)+1),COLUMN($I$2:$I$31),4)))</f>
        <v>0</v>
      </c>
      <c r="V13" s="485" t="str">
        <f t="array" aca="1" ref="V13" ca="1">IF(ROW()-ROW($K$2:$K$31)+1&gt;ROWS($J$2:$J$31)-COUNTBLANK($J$2:$J$31),"",INDIRECT(ADDRESS(SMALL((IF($J$2:$J$31&lt;&gt;"",ROW($J$2:$J$31),ROW()+ROWS($J$2:$J$31))),ROW()-ROW($K$2:$K$31)+1),COLUMN($J$2:$J$31),4)))</f>
        <v>n.d.</v>
      </c>
      <c r="W13" s="488" t="str">
        <f t="array" aca="1" ref="W13" ca="1">IF(ROW()-ROW($L$2:$L$31)+1&gt;ROWS($K$2:$K$31)-COUNTBLANK($K$2:$K$31),"",INDIRECT(ADDRESS(SMALL((IF($K$2:$K$31&lt;&gt;"",ROW($K$2:$K$31),ROW()+ROWS($K$2:$K$31))),ROW()-ROW($L$2:$L$31)+1),COLUMN($K$2:$K$31),4)))</f>
        <v>Unvollständig</v>
      </c>
      <c r="X13" s="488" t="str">
        <f t="array" aca="1" ref="X13" ca="1">IF(ROW()-ROW($M$2:$M$31)+1&gt;ROWS($L$2:$L$31)-COUNTBLANK($L$2:$L$31),"",INDIRECT(ADDRESS(SMALL((IF($L$2:$L$31&lt;&gt;"",ROW($L$2:$L$31),ROW()+ROWS($L$2:$L$31))),ROW()-ROW($M$2:$M$31)+1),COLUMN($L$2:$L$31),4)))</f>
        <v>-----</v>
      </c>
      <c r="Y13" s="488" t="str">
        <f t="array" aca="1" ref="Y13" ca="1">IF(ROW()-ROW($N$2:$N$31)+1&gt;ROWS($M$2:$M$31)-COUNTBLANK($M$2:$M$31),"",INDIRECT(ADDRESS(SMALL((IF($M$2:$M$31&lt;&gt;"",ROW($M$2:$M$31),ROW()+ROWS($M$2:$M$31))),ROW()-ROW($N$2:$N$31)+1),COLUMN($M$2:$M$31),4)))</f>
        <v>-----</v>
      </c>
    </row>
    <row r="14" spans="1:25" ht="46.5" customHeight="1" x14ac:dyDescent="0.25">
      <c r="A14" s="484" t="str">
        <f>IF('Kennzahlenbogen_(KB)'!R44=0,"",'Kennzahlenbogen_(KB)'!R44)</f>
        <v>Unvollständig</v>
      </c>
      <c r="C14" s="485" t="str">
        <f>IF($A14="I.O.","",'Kennzahlenbogen_(KB)'!B44)</f>
        <v xml:space="preserve">6
</v>
      </c>
      <c r="D14" s="486" t="str">
        <f>IF($A14="I.O.","",'Kennzahlenbogen_(KB)'!E44)</f>
        <v>Psychoonkologisches Distress-Screening</v>
      </c>
      <c r="E14" s="487" t="str">
        <f>IF(AND('Kennzahlenbogen_(KB)'!L44="",$A14&lt;&gt;"I.O."),"-----",IF($A14="I.O.","",'Kennzahlenbogen_(KB)'!L44))</f>
        <v>-----</v>
      </c>
      <c r="F14" s="487" t="str">
        <f>IF($A14="I.O.","",'Kennzahlenbogen_(KB)'!M44)</f>
        <v>≥ 65%</v>
      </c>
      <c r="G14" s="487" t="str">
        <f>IF(AND('Kennzahlenbogen_(KB)'!O44="",$A14&lt;&gt;"I.O."),"-----",IF($A14="I.O.","",'Kennzahlenbogen_(KB)'!O44))</f>
        <v>-----</v>
      </c>
      <c r="H14" s="485" t="str">
        <f>IF($A14="I.O.","",IF('Kennzahlenbogen_(KB)'!Q44="","-----",'Kennzahlenbogen_(KB)'!Q44))</f>
        <v>-----</v>
      </c>
      <c r="I14" s="485">
        <f>IF($A14="I.O.","",IF('Kennzahlenbogen_(KB)'!Q45="","-----",'Kennzahlenbogen_(KB)'!Q45))</f>
        <v>0</v>
      </c>
      <c r="J14" s="485" t="str">
        <f>IF($A14="I.O.","",IF('Kennzahlenbogen_(KB)'!Q46="","-----",'Kennzahlenbogen_(KB)'!Q46))</f>
        <v>n.d.</v>
      </c>
      <c r="K14" s="485" t="str">
        <f>IF($A14="I.O.","",'Kennzahlenbogen_(KB)'!R44)</f>
        <v>Unvollständig</v>
      </c>
      <c r="L14" s="486" t="str">
        <f>IF(AND('Kennzahlenbogen_(KB)'!S44="",$A14&lt;&gt;"I.O."),"-----",IF($A14="I.O.","",'Kennzahlenbogen_(KB)'!S44))</f>
        <v>-----</v>
      </c>
      <c r="M14" s="486" t="str">
        <f>IF(AND('Kennzahlenbogen_(KB)'!T44="",$A14&lt;&gt;"I.O."),"-----",IF($A14="I.O.","",'Kennzahlenbogen_(KB)'!T44))</f>
        <v>-----</v>
      </c>
      <c r="O14" s="485" t="str">
        <f t="array" aca="1" ref="O14" ca="1">IF(ROW()-ROW($D$2:$D$31)+1&gt;ROWS($C$2:$C$31)-COUNTBLANK($C$2:$C$31),"",INDIRECT(ADDRESS(SMALL((IF($C$2:$C$31&lt;&gt;"",ROW($C$2:$C$31),ROW()+ROWS($C$2:$C$31))),ROW()-ROW($D$2:$D$31)+1),COLUMN($C$2:$C$31),4)))</f>
        <v xml:space="preserve">6
</v>
      </c>
      <c r="P14" s="488" t="str">
        <f t="array" aca="1" ref="P14" ca="1">IF(ROW()-ROW($E$2:$E$31)+1&gt;ROWS($D$2:$D$31)-COUNTBLANK($D$2:$D$31),"",INDIRECT(ADDRESS(SMALL((IF($D$2:$D$31&gt;"",ROW($D$2:$D$31),ROW()+ROWS($D$2:$D$31))),ROW()-ROW($E$2:$E$31)+1),COLUMN($D$2:$D$31),4)))</f>
        <v>Psychoonkologisches Distress-Screening</v>
      </c>
      <c r="Q14" s="485" t="str">
        <f t="array" aca="1" ref="Q14" ca="1">IF(ROW()-ROW($F$2:$F$31)+1&gt;ROWS($E$2:$E$31)-COUNTBLANK($E$2:$E$31),"",INDIRECT(ADDRESS(SMALL((IF($E$2:$E$31&gt;"",ROW($E$2:$E$31),ROW()+ROWS($E$2:$E$31))),ROW()-ROW($F$2:$F$31)+1),COLUMN($E$2:$E$31),4)))</f>
        <v>-----</v>
      </c>
      <c r="R14" s="485" t="str">
        <f t="array" aca="1" ref="R14" ca="1">IF(ROW()-ROW($G$2:$G$31)+1&gt;ROWS($F$2:$F$31)-COUNTBLANK($F$2:$F$31),"",INDIRECT(ADDRESS(SMALL((IF($F$2:$F$31&gt;"",ROW($F$2:$F$31),ROW()+ROWS($F$2:$F$31))),ROW()-ROW($G$2:$G$31)+1),COLUMN($F$2:$F$31),4)))</f>
        <v>≥ 65%</v>
      </c>
      <c r="S14" s="485" t="str">
        <f t="array" aca="1" ref="S14" ca="1">IF(ROW()-ROW($H$2:$H$31)+1&gt;ROWS($G$2:$G$31)-COUNTBLANK($G$2:$G$31),"",INDIRECT(ADDRESS(SMALL((IF($G$2:$G$31&lt;&gt;"",ROW($G$2:$G$31),ROW()+ROWS($G$2:$G$31))),ROW()-ROW($H$2:$H$31)+1),COLUMN($G$2:$G$31),4)))</f>
        <v>-----</v>
      </c>
      <c r="T14" s="485" t="str">
        <f t="array" aca="1" ref="T14" ca="1">IF(ROW()-ROW($I$2:$I$31)+1&gt;ROWS($H$2:$H$31)-COUNTBLANK($H$2:$H$31),"",INDIRECT(ADDRESS(SMALL((IF($H$2:$H$31&lt;&gt;"",ROW($H$2:$H$31),ROW()+ROWS($H$2:$H$31))),ROW()-ROW($I$2:$I$31)+1),COLUMN($H$2:$H$31),4)))</f>
        <v>-----</v>
      </c>
      <c r="U14" s="485">
        <f t="array" aca="1" ref="U14" ca="1">IF(ROW()-ROW($J$2:$J$31)+1&gt;ROWS($I$2:$I$31)-COUNTBLANK($I$2:$I$31),"",INDIRECT(ADDRESS(SMALL((IF($I$2:$I$31&lt;&gt;"",ROW($I$2:$I$31),ROW()+ROWS($I$2:$I$31))),ROW()-ROW($J$2:$J$31)+1),COLUMN($I$2:$I$31),4)))</f>
        <v>0</v>
      </c>
      <c r="V14" s="485" t="str">
        <f t="array" aca="1" ref="V14" ca="1">IF(ROW()-ROW($K$2:$K$31)+1&gt;ROWS($J$2:$J$31)-COUNTBLANK($J$2:$J$31),"",INDIRECT(ADDRESS(SMALL((IF($J$2:$J$31&lt;&gt;"",ROW($J$2:$J$31),ROW()+ROWS($J$2:$J$31))),ROW()-ROW($K$2:$K$31)+1),COLUMN($J$2:$J$31),4)))</f>
        <v>n.d.</v>
      </c>
      <c r="W14" s="488" t="str">
        <f t="array" aca="1" ref="W14" ca="1">IF(ROW()-ROW($L$2:$L$31)+1&gt;ROWS($K$2:$K$31)-COUNTBLANK($K$2:$K$31),"",INDIRECT(ADDRESS(SMALL((IF($K$2:$K$31&lt;&gt;"",ROW($K$2:$K$31),ROW()+ROWS($K$2:$K$31))),ROW()-ROW($L$2:$L$31)+1),COLUMN($K$2:$K$31),4)))</f>
        <v>Unvollständig</v>
      </c>
      <c r="X14" s="488" t="str">
        <f t="array" aca="1" ref="X14" ca="1">IF(ROW()-ROW($M$2:$M$31)+1&gt;ROWS($L$2:$L$31)-COUNTBLANK($L$2:$L$31),"",INDIRECT(ADDRESS(SMALL((IF($L$2:$L$31&lt;&gt;"",ROW($L$2:$L$31),ROW()+ROWS($L$2:$L$31))),ROW()-ROW($M$2:$M$31)+1),COLUMN($L$2:$L$31),4)))</f>
        <v>-----</v>
      </c>
      <c r="Y14" s="488" t="str">
        <f t="array" aca="1" ref="Y14" ca="1">IF(ROW()-ROW($N$2:$N$31)+1&gt;ROWS($M$2:$M$31)-COUNTBLANK($M$2:$M$31),"",INDIRECT(ADDRESS(SMALL((IF($M$2:$M$31&lt;&gt;"",ROW($M$2:$M$31),ROW()+ROWS($M$2:$M$31))),ROW()-ROW($N$2:$N$31)+1),COLUMN($M$2:$M$31),4)))</f>
        <v>-----</v>
      </c>
    </row>
    <row r="15" spans="1:25" ht="46.5" customHeight="1" x14ac:dyDescent="0.25">
      <c r="A15" s="484" t="str">
        <f>IF('Kennzahlenbogen_(KB)'!R47=0,"",'Kennzahlenbogen_(KB)'!R47)</f>
        <v>Unvollständig</v>
      </c>
      <c r="C15" s="485">
        <f>IF($A15="I.O.","",'Kennzahlenbogen_(KB)'!B47)</f>
        <v>7</v>
      </c>
      <c r="D15" s="486" t="str">
        <f>IF($A15="I.O.","",'Kennzahlenbogen_(KB)'!E47)</f>
        <v>Beratung Sozialdienst</v>
      </c>
      <c r="E15" s="487" t="str">
        <f>IF(AND('Kennzahlenbogen_(KB)'!L47="",$A15&lt;&gt;"I.O."),"-----",IF($A15="I.O.","",'Kennzahlenbogen_(KB)'!L47))</f>
        <v>&lt; 50%</v>
      </c>
      <c r="F15" s="487" t="str">
        <f>IF($A15="I.O.","",'Kennzahlenbogen_(KB)'!M47)</f>
        <v>Derzeit keine
Vorgaben</v>
      </c>
      <c r="G15" s="487" t="str">
        <f>IF(AND('Kennzahlenbogen_(KB)'!O47="",$A15&lt;&gt;"I.O."),"-----",IF($A15="I.O.","",'Kennzahlenbogen_(KB)'!O47))</f>
        <v>-----</v>
      </c>
      <c r="H15" s="485" t="str">
        <f>IF($A15="I.O.","",IF('Kennzahlenbogen_(KB)'!Q47="","-----",'Kennzahlenbogen_(KB)'!Q47))</f>
        <v>-----</v>
      </c>
      <c r="I15" s="485">
        <f>IF($A15="I.O.","",IF('Kennzahlenbogen_(KB)'!Q48="","-----",'Kennzahlenbogen_(KB)'!Q48))</f>
        <v>0</v>
      </c>
      <c r="J15" s="485" t="str">
        <f>IF($A15="I.O.","",IF('Kennzahlenbogen_(KB)'!Q49="",0,'Kennzahlenbogen_(KB)'!Q49))</f>
        <v>n.d.</v>
      </c>
      <c r="K15" s="485" t="str">
        <f>IF($A15="I.O.","",'Kennzahlenbogen_(KB)'!R47)</f>
        <v>Unvollständig</v>
      </c>
      <c r="L15" s="486" t="str">
        <f>IF(AND('Kennzahlenbogen_(KB)'!S47="",$A15&lt;&gt;"I.O."),"-----",IF($A15="I.O.","",'Kennzahlenbogen_(KB)'!S47))</f>
        <v>-----</v>
      </c>
      <c r="M15" s="486" t="str">
        <f>IF(AND('Kennzahlenbogen_(KB)'!T47="",$A15&lt;&gt;"I.O."),"-----",IF($A15="I.O.","",'Kennzahlenbogen_(KB)'!T47))</f>
        <v>-----</v>
      </c>
      <c r="O15" s="485">
        <f t="array" aca="1" ref="O15" ca="1">IF(ROW()-ROW($D$2:$D$31)+1&gt;ROWS($C$2:$C$31)-COUNTBLANK($C$2:$C$31),"",INDIRECT(ADDRESS(SMALL((IF($C$2:$C$31&lt;&gt;"",ROW($C$2:$C$31),ROW()+ROWS($C$2:$C$31))),ROW()-ROW($D$2:$D$31)+1),COLUMN($C$2:$C$31),4)))</f>
        <v>7</v>
      </c>
      <c r="P15" s="488" t="str">
        <f t="array" aca="1" ref="P15" ca="1">IF(ROW()-ROW($E$2:$E$31)+1&gt;ROWS($D$2:$D$31)-COUNTBLANK($D$2:$D$31),"",INDIRECT(ADDRESS(SMALL((IF($D$2:$D$31&gt;"",ROW($D$2:$D$31),ROW()+ROWS($D$2:$D$31))),ROW()-ROW($E$2:$E$31)+1),COLUMN($D$2:$D$31),4)))</f>
        <v>Beratung Sozialdienst</v>
      </c>
      <c r="Q15" s="485" t="str">
        <f t="array" aca="1" ref="Q15" ca="1">IF(ROW()-ROW($F$2:$F$31)+1&gt;ROWS($E$2:$E$31)-COUNTBLANK($E$2:$E$31),"",INDIRECT(ADDRESS(SMALL((IF($E$2:$E$31&gt;"",ROW($E$2:$E$31),ROW()+ROWS($E$2:$E$31))),ROW()-ROW($F$2:$F$31)+1),COLUMN($E$2:$E$31),4)))</f>
        <v>&lt; 50%</v>
      </c>
      <c r="R15" s="485" t="str">
        <f t="array" aca="1" ref="R15" ca="1">IF(ROW()-ROW($G$2:$G$31)+1&gt;ROWS($F$2:$F$31)-COUNTBLANK($F$2:$F$31),"",INDIRECT(ADDRESS(SMALL((IF($F$2:$F$31&gt;"",ROW($F$2:$F$31),ROW()+ROWS($F$2:$F$31))),ROW()-ROW($G$2:$G$31)+1),COLUMN($F$2:$F$31),4)))</f>
        <v>Derzeit keine
Vorgaben</v>
      </c>
      <c r="S15" s="485" t="str">
        <f t="array" aca="1" ref="S15" ca="1">IF(ROW()-ROW($H$2:$H$31)+1&gt;ROWS($G$2:$G$31)-COUNTBLANK($G$2:$G$31),"",INDIRECT(ADDRESS(SMALL((IF($G$2:$G$31&lt;&gt;"",ROW($G$2:$G$31),ROW()+ROWS($G$2:$G$31))),ROW()-ROW($H$2:$H$31)+1),COLUMN($G$2:$G$31),4)))</f>
        <v>-----</v>
      </c>
      <c r="T15" s="485" t="str">
        <f t="array" aca="1" ref="T15" ca="1">IF(ROW()-ROW($I$2:$I$31)+1&gt;ROWS($H$2:$H$31)-COUNTBLANK($H$2:$H$31),"",INDIRECT(ADDRESS(SMALL((IF($H$2:$H$31&lt;&gt;"",ROW($H$2:$H$31),ROW()+ROWS($H$2:$H$31))),ROW()-ROW($I$2:$I$31)+1),COLUMN($H$2:$H$31),4)))</f>
        <v>-----</v>
      </c>
      <c r="U15" s="485">
        <f t="array" aca="1" ref="U15" ca="1">IF(ROW()-ROW($J$2:$J$31)+1&gt;ROWS($I$2:$I$31)-COUNTBLANK($I$2:$I$31),"",INDIRECT(ADDRESS(SMALL((IF($I$2:$I$31&lt;&gt;"",ROW($I$2:$I$31),ROW()+ROWS($I$2:$I$31))),ROW()-ROW($J$2:$J$31)+1),COLUMN($I$2:$I$31),4)))</f>
        <v>0</v>
      </c>
      <c r="V15" s="485" t="str">
        <f t="array" aca="1" ref="V15" ca="1">IF(ROW()-ROW($K$2:$K$31)+1&gt;ROWS($J$2:$J$31)-COUNTBLANK($J$2:$J$31),"",INDIRECT(ADDRESS(SMALL((IF($J$2:$J$31&lt;&gt;"",ROW($J$2:$J$31),ROW()+ROWS($J$2:$J$31))),ROW()-ROW($K$2:$K$31)+1),COLUMN($J$2:$J$31),4)))</f>
        <v>n.d.</v>
      </c>
      <c r="W15" s="488" t="str">
        <f t="array" aca="1" ref="W15" ca="1">IF(ROW()-ROW($L$2:$L$31)+1&gt;ROWS($K$2:$K$31)-COUNTBLANK($K$2:$K$31),"",INDIRECT(ADDRESS(SMALL((IF($K$2:$K$31&lt;&gt;"",ROW($K$2:$K$31),ROW()+ROWS($K$2:$K$31))),ROW()-ROW($L$2:$L$31)+1),COLUMN($K$2:$K$31),4)))</f>
        <v>Unvollständig</v>
      </c>
      <c r="X15" s="488" t="str">
        <f t="array" aca="1" ref="X15" ca="1">IF(ROW()-ROW($M$2:$M$31)+1&gt;ROWS($L$2:$L$31)-COUNTBLANK($L$2:$L$31),"",INDIRECT(ADDRESS(SMALL((IF($L$2:$L$31&lt;&gt;"",ROW($L$2:$L$31),ROW()+ROWS($L$2:$L$31))),ROW()-ROW($M$2:$M$31)+1),COLUMN($L$2:$L$31),4)))</f>
        <v>-----</v>
      </c>
      <c r="Y15" s="488" t="str">
        <f t="array" aca="1" ref="Y15" ca="1">IF(ROW()-ROW($N$2:$N$31)+1&gt;ROWS($M$2:$M$31)-COUNTBLANK($M$2:$M$31),"",INDIRECT(ADDRESS(SMALL((IF($M$2:$M$31&lt;&gt;"",ROW($M$2:$M$31),ROW()+ROWS($M$2:$M$31))),ROW()-ROW($N$2:$N$31)+1),COLUMN($M$2:$M$31),4)))</f>
        <v>-----</v>
      </c>
    </row>
    <row r="16" spans="1:25" ht="46.5" customHeight="1" x14ac:dyDescent="0.25">
      <c r="A16" s="484" t="str">
        <f>IF('Kennzahlenbogen_(KB)'!R50=0,"",'Kennzahlenbogen_(KB)'!R50)</f>
        <v>Unvollständig</v>
      </c>
      <c r="C16" s="485">
        <f>IF($A16="I.O.","",'Kennzahlenbogen_(KB)'!B50)</f>
        <v>8</v>
      </c>
      <c r="D16" s="486" t="str">
        <f>IF($A16="I.O.","",'Kennzahlenbogen_(KB)'!E50)</f>
        <v>Anteil Studienpat.</v>
      </c>
      <c r="E16" s="487" t="str">
        <f>IF(AND('Kennzahlenbogen_(KB)'!L50="",$A16&lt;&gt;"I.O."),"-----",IF($A16="I.O.","",'Kennzahlenbogen_(KB)'!L50))</f>
        <v>-----</v>
      </c>
      <c r="F16" s="487" t="str">
        <f>IF($A16="I.O.","",'Kennzahlenbogen_(KB)'!M50)</f>
        <v>≥ 5%</v>
      </c>
      <c r="G16" s="487" t="str">
        <f>IF(AND('Kennzahlenbogen_(KB)'!O50="",$A16&lt;&gt;"I.O."),"-----",IF($A16="I.O.","",'Kennzahlenbogen_(KB)'!O50))</f>
        <v>-----</v>
      </c>
      <c r="H16" s="485">
        <f>IF($A16="I.O.","",IF('Kennzahlenbogen_(KB)'!Q50="","-----",'Kennzahlenbogen_(KB)'!Q50))</f>
        <v>0</v>
      </c>
      <c r="I16" s="485">
        <f>IF($A16="I.O.","",IF('Kennzahlenbogen_(KB)'!Q51="","-----",'Kennzahlenbogen_(KB)'!Q51))</f>
        <v>0</v>
      </c>
      <c r="J16" s="485" t="str">
        <f>IF($A16="I.O.","",IF('Kennzahlenbogen_(KB)'!Q52="",0,'Kennzahlenbogen_(KB)'!Q52))</f>
        <v>n.d.</v>
      </c>
      <c r="K16" s="485" t="str">
        <f>IF($A16="I.O.","",'Kennzahlenbogen_(KB)'!R50)</f>
        <v>Unvollständig</v>
      </c>
      <c r="L16" s="486" t="str">
        <f>IF(AND('Kennzahlenbogen_(KB)'!S50="",$A16&lt;&gt;"I.O."),"-----",IF($A16="I.O.","",'Kennzahlenbogen_(KB)'!S50))</f>
        <v>-----</v>
      </c>
      <c r="M16" s="486" t="str">
        <f>IF(AND('Kennzahlenbogen_(KB)'!T50="",$A16&lt;&gt;"I.O."),"-----",IF($A16="I.O.","",'Kennzahlenbogen_(KB)'!T50))</f>
        <v>-----</v>
      </c>
      <c r="O16" s="485">
        <f t="array" aca="1" ref="O16" ca="1">IF(ROW()-ROW($D$2:$D$31)+1&gt;ROWS($C$2:$C$31)-COUNTBLANK($C$2:$C$31),"",INDIRECT(ADDRESS(SMALL((IF($C$2:$C$31&lt;&gt;"",ROW($C$2:$C$31),ROW()+ROWS($C$2:$C$31))),ROW()-ROW($D$2:$D$31)+1),COLUMN($C$2:$C$31),4)))</f>
        <v>8</v>
      </c>
      <c r="P16" s="488" t="str">
        <f t="array" aca="1" ref="P16" ca="1">IF(ROW()-ROW($E$2:$E$31)+1&gt;ROWS($D$2:$D$31)-COUNTBLANK($D$2:$D$31),"",INDIRECT(ADDRESS(SMALL((IF($D$2:$D$31&gt;"",ROW($D$2:$D$31),ROW()+ROWS($D$2:$D$31))),ROW()-ROW($E$2:$E$31)+1),COLUMN($D$2:$D$31),4)))</f>
        <v>Anteil Studienpat.</v>
      </c>
      <c r="Q16" s="485" t="str">
        <f t="array" aca="1" ref="Q16" ca="1">IF(ROW()-ROW($F$2:$F$31)+1&gt;ROWS($E$2:$E$31)-COUNTBLANK($E$2:$E$31),"",INDIRECT(ADDRESS(SMALL((IF($E$2:$E$31&gt;"",ROW($E$2:$E$31),ROW()+ROWS($E$2:$E$31))),ROW()-ROW($F$2:$F$31)+1),COLUMN($E$2:$E$31),4)))</f>
        <v>-----</v>
      </c>
      <c r="R16" s="485" t="str">
        <f t="array" aca="1" ref="R16" ca="1">IF(ROW()-ROW($G$2:$G$31)+1&gt;ROWS($F$2:$F$31)-COUNTBLANK($F$2:$F$31),"",INDIRECT(ADDRESS(SMALL((IF($F$2:$F$31&gt;"",ROW($F$2:$F$31),ROW()+ROWS($F$2:$F$31))),ROW()-ROW($G$2:$G$31)+1),COLUMN($F$2:$F$31),4)))</f>
        <v>≥ 5%</v>
      </c>
      <c r="S16" s="485" t="str">
        <f t="array" aca="1" ref="S16" ca="1">IF(ROW()-ROW($H$2:$H$31)+1&gt;ROWS($G$2:$G$31)-COUNTBLANK($G$2:$G$31),"",INDIRECT(ADDRESS(SMALL((IF($G$2:$G$31&lt;&gt;"",ROW($G$2:$G$31),ROW()+ROWS($G$2:$G$31))),ROW()-ROW($H$2:$H$31)+1),COLUMN($G$2:$G$31),4)))</f>
        <v>-----</v>
      </c>
      <c r="T16" s="485">
        <f t="array" aca="1" ref="T16" ca="1">IF(ROW()-ROW($I$2:$I$31)+1&gt;ROWS($H$2:$H$31)-COUNTBLANK($H$2:$H$31),"",INDIRECT(ADDRESS(SMALL((IF($H$2:$H$31&lt;&gt;"",ROW($H$2:$H$31),ROW()+ROWS($H$2:$H$31))),ROW()-ROW($I$2:$I$31)+1),COLUMN($H$2:$H$31),4)))</f>
        <v>0</v>
      </c>
      <c r="U16" s="485">
        <f t="array" aca="1" ref="U16" ca="1">IF(ROW()-ROW($J$2:$J$31)+1&gt;ROWS($I$2:$I$31)-COUNTBLANK($I$2:$I$31),"",INDIRECT(ADDRESS(SMALL((IF($I$2:$I$31&lt;&gt;"",ROW($I$2:$I$31),ROW()+ROWS($I$2:$I$31))),ROW()-ROW($J$2:$J$31)+1),COLUMN($I$2:$I$31),4)))</f>
        <v>0</v>
      </c>
      <c r="V16" s="485" t="str">
        <f t="array" aca="1" ref="V16" ca="1">IF(ROW()-ROW($K$2:$K$31)+1&gt;ROWS($J$2:$J$31)-COUNTBLANK($J$2:$J$31),"",INDIRECT(ADDRESS(SMALL((IF($J$2:$J$31&lt;&gt;"",ROW($J$2:$J$31),ROW()+ROWS($J$2:$J$31))),ROW()-ROW($K$2:$K$31)+1),COLUMN($J$2:$J$31),4)))</f>
        <v>n.d.</v>
      </c>
      <c r="W16" s="488" t="str">
        <f t="array" aca="1" ref="W16" ca="1">IF(ROW()-ROW($L$2:$L$31)+1&gt;ROWS($K$2:$K$31)-COUNTBLANK($K$2:$K$31),"",INDIRECT(ADDRESS(SMALL((IF($K$2:$K$31&lt;&gt;"",ROW($K$2:$K$31),ROW()+ROWS($K$2:$K$31))),ROW()-ROW($L$2:$L$31)+1),COLUMN($K$2:$K$31),4)))</f>
        <v>Unvollständig</v>
      </c>
      <c r="X16" s="488" t="str">
        <f t="array" aca="1" ref="X16" ca="1">IF(ROW()-ROW($M$2:$M$31)+1&gt;ROWS($L$2:$L$31)-COUNTBLANK($L$2:$L$31),"",INDIRECT(ADDRESS(SMALL((IF($L$2:$L$31&lt;&gt;"",ROW($L$2:$L$31),ROW()+ROWS($L$2:$L$31))),ROW()-ROW($M$2:$M$31)+1),COLUMN($L$2:$L$31),4)))</f>
        <v>-----</v>
      </c>
      <c r="Y16" s="488" t="str">
        <f t="array" aca="1" ref="Y16" ca="1">IF(ROW()-ROW($N$2:$N$31)+1&gt;ROWS($M$2:$M$31)-COUNTBLANK($M$2:$M$31),"",INDIRECT(ADDRESS(SMALL((IF($M$2:$M$31&lt;&gt;"",ROW($M$2:$M$31),ROW()+ROWS($M$2:$M$31))),ROW()-ROW($N$2:$N$31)+1),COLUMN($M$2:$M$31),4)))</f>
        <v>-----</v>
      </c>
    </row>
    <row r="17" spans="1:25" ht="46.5" customHeight="1" x14ac:dyDescent="0.25">
      <c r="A17" s="484" t="str">
        <f>IF('Kennzahlenbogen_(KB)'!R53=0,"",'Kennzahlenbogen_(KB)'!R53)</f>
        <v>Unvollständig</v>
      </c>
      <c r="C17" s="485">
        <f>IF($A17="I.O.","",'Kennzahlenbogen_(KB)'!B53)</f>
        <v>9</v>
      </c>
      <c r="D17" s="486" t="str">
        <f>IF($A17="I.O.","",'Kennzahlenbogen_(KB)'!E53)</f>
        <v>Operative Expertise</v>
      </c>
      <c r="E17" s="487" t="str">
        <f>IF(AND('Kennzahlenbogen_(KB)'!L53="",$A17&lt;&gt;"I.O."),"-----",IF($A17="I.O.","",'Kennzahlenbogen_(KB)'!L53))</f>
        <v>-----</v>
      </c>
      <c r="F17" s="487" t="str">
        <f>IF($A17="I.O.","",'Kennzahlenbogen_(KB)'!M53)</f>
        <v>≥ 50</v>
      </c>
      <c r="G17" s="487" t="str">
        <f>IF(AND('Kennzahlenbogen_(KB)'!O53="",$A17&lt;&gt;"I.O."),"-----",IF($A17="I.O.","",'Kennzahlenbogen_(KB)'!O53))</f>
        <v>-----</v>
      </c>
      <c r="H17" s="485">
        <f>IF($A17="I.O.","",IF('Kennzahlenbogen_(KB)'!Q53="","-----",'Kennzahlenbogen_(KB)'!Q53))</f>
        <v>0</v>
      </c>
      <c r="I17" s="485" t="str">
        <f>IF($A17="I.O.","",IF('Kennzahlenbogen_(KB)'!Q54="","-----",'Kennzahlenbogen_(KB)'!Q54))</f>
        <v>-----</v>
      </c>
      <c r="J17" s="485" t="str">
        <f>IF($A17="I.O.","",IF('Kennzahlenbogen_(KB)'!Q55="","-----",'Kennzahlenbogen_(KB)'!Q55))</f>
        <v>-----</v>
      </c>
      <c r="K17" s="485" t="str">
        <f>IF($A17="I.O.","",'Kennzahlenbogen_(KB)'!R53)</f>
        <v>Unvollständig</v>
      </c>
      <c r="L17" s="486" t="str">
        <f>IF(AND('Kennzahlenbogen_(KB)'!S53="",$A17&lt;&gt;"I.O."),"-----",IF($A17="I.O.","",'Kennzahlenbogen_(KB)'!S53))</f>
        <v>-----</v>
      </c>
      <c r="M17" s="486" t="str">
        <f>IF(AND('Kennzahlenbogen_(KB)'!T53="",$A17&lt;&gt;"I.O."),"-----",IF($A17="I.O.","",'Kennzahlenbogen_(KB)'!T53))</f>
        <v>-----</v>
      </c>
      <c r="O17" s="485">
        <f t="array" aca="1" ref="O17" ca="1">IF(ROW()-ROW($D$2:$D$31)+1&gt;ROWS($C$2:$C$31)-COUNTBLANK($C$2:$C$31),"",INDIRECT(ADDRESS(SMALL((IF($C$2:$C$31&lt;&gt;"",ROW($C$2:$C$31),ROW()+ROWS($C$2:$C$31))),ROW()-ROW($D$2:$D$31)+1),COLUMN($C$2:$C$31),4)))</f>
        <v>9</v>
      </c>
      <c r="P17" s="488" t="str">
        <f t="array" aca="1" ref="P17" ca="1">IF(ROW()-ROW($E$2:$E$31)+1&gt;ROWS($D$2:$D$31)-COUNTBLANK($D$2:$D$31),"",INDIRECT(ADDRESS(SMALL((IF($D$2:$D$31&gt;"",ROW($D$2:$D$31),ROW()+ROWS($D$2:$D$31))),ROW()-ROW($E$2:$E$31)+1),COLUMN($D$2:$D$31),4)))</f>
        <v>Operative Expertise</v>
      </c>
      <c r="Q17" s="485" t="str">
        <f t="array" aca="1" ref="Q17" ca="1">IF(ROW()-ROW($F$2:$F$31)+1&gt;ROWS($E$2:$E$31)-COUNTBLANK($E$2:$E$31),"",INDIRECT(ADDRESS(SMALL((IF($E$2:$E$31&gt;"",ROW($E$2:$E$31),ROW()+ROWS($E$2:$E$31))),ROW()-ROW($F$2:$F$31)+1),COLUMN($E$2:$E$31),4)))</f>
        <v>-----</v>
      </c>
      <c r="R17" s="485" t="str">
        <f t="array" aca="1" ref="R17" ca="1">IF(ROW()-ROW($G$2:$G$31)+1&gt;ROWS($F$2:$F$31)-COUNTBLANK($F$2:$F$31),"",INDIRECT(ADDRESS(SMALL((IF($F$2:$F$31&gt;"",ROW($F$2:$F$31),ROW()+ROWS($F$2:$F$31))),ROW()-ROW($G$2:$G$31)+1),COLUMN($F$2:$F$31),4)))</f>
        <v>≥ 50</v>
      </c>
      <c r="S17" s="485" t="str">
        <f t="array" aca="1" ref="S17" ca="1">IF(ROW()-ROW($H$2:$H$31)+1&gt;ROWS($G$2:$G$31)-COUNTBLANK($G$2:$G$31),"",INDIRECT(ADDRESS(SMALL((IF($G$2:$G$31&lt;&gt;"",ROW($G$2:$G$31),ROW()+ROWS($G$2:$G$31))),ROW()-ROW($H$2:$H$31)+1),COLUMN($G$2:$G$31),4)))</f>
        <v>-----</v>
      </c>
      <c r="T17" s="485">
        <f t="array" aca="1" ref="T17" ca="1">IF(ROW()-ROW($I$2:$I$31)+1&gt;ROWS($H$2:$H$31)-COUNTBLANK($H$2:$H$31),"",INDIRECT(ADDRESS(SMALL((IF($H$2:$H$31&lt;&gt;"",ROW($H$2:$H$31),ROW()+ROWS($H$2:$H$31))),ROW()-ROW($I$2:$I$31)+1),COLUMN($H$2:$H$31),4)))</f>
        <v>0</v>
      </c>
      <c r="U17" s="485" t="str">
        <f t="array" aca="1" ref="U17" ca="1">IF(ROW()-ROW($J$2:$J$31)+1&gt;ROWS($I$2:$I$31)-COUNTBLANK($I$2:$I$31),"",INDIRECT(ADDRESS(SMALL((IF($I$2:$I$31&lt;&gt;"",ROW($I$2:$I$31),ROW()+ROWS($I$2:$I$31))),ROW()-ROW($J$2:$J$31)+1),COLUMN($I$2:$I$31),4)))</f>
        <v>-----</v>
      </c>
      <c r="V17" s="485" t="str">
        <f t="array" aca="1" ref="V17" ca="1">IF(ROW()-ROW($K$2:$K$31)+1&gt;ROWS($J$2:$J$31)-COUNTBLANK($J$2:$J$31),"",INDIRECT(ADDRESS(SMALL((IF($J$2:$J$31&lt;&gt;"",ROW($J$2:$J$31),ROW()+ROWS($J$2:$J$31))),ROW()-ROW($K$2:$K$31)+1),COLUMN($J$2:$J$31),4)))</f>
        <v>-----</v>
      </c>
      <c r="W17" s="488" t="str">
        <f t="array" aca="1" ref="W17" ca="1">IF(ROW()-ROW($L$2:$L$31)+1&gt;ROWS($K$2:$K$31)-COUNTBLANK($K$2:$K$31),"",INDIRECT(ADDRESS(SMALL((IF($K$2:$K$31&lt;&gt;"",ROW($K$2:$K$31),ROW()+ROWS($K$2:$K$31))),ROW()-ROW($L$2:$L$31)+1),COLUMN($K$2:$K$31),4)))</f>
        <v>Unvollständig</v>
      </c>
      <c r="X17" s="488" t="str">
        <f t="array" aca="1" ref="X17" ca="1">IF(ROW()-ROW($M$2:$M$31)+1&gt;ROWS($L$2:$L$31)-COUNTBLANK($L$2:$L$31),"",INDIRECT(ADDRESS(SMALL((IF($L$2:$L$31&lt;&gt;"",ROW($L$2:$L$31),ROW()+ROWS($L$2:$L$31))),ROW()-ROW($M$2:$M$31)+1),COLUMN($L$2:$L$31),4)))</f>
        <v>-----</v>
      </c>
      <c r="Y17" s="488" t="str">
        <f t="array" aca="1" ref="Y17" ca="1">IF(ROW()-ROW($N$2:$N$31)+1&gt;ROWS($M$2:$M$31)-COUNTBLANK($M$2:$M$31),"",INDIRECT(ADDRESS(SMALL((IF($M$2:$M$31&lt;&gt;"",ROW($M$2:$M$31),ROW()+ROWS($M$2:$M$31))),ROW()-ROW($N$2:$N$31)+1),COLUMN($M$2:$M$31),4)))</f>
        <v>-----</v>
      </c>
    </row>
    <row r="18" spans="1:25" ht="46.5" customHeight="1" x14ac:dyDescent="0.25">
      <c r="A18" s="484" t="str">
        <f>IF('Kennzahlenbogen_(KB)'!R56=0,"",'Kennzahlenbogen_(KB)'!R56)</f>
        <v>Unvollständig</v>
      </c>
      <c r="C18" s="489">
        <f>IF($A18="I.O.","",'Kennzahlenbogen_(KB)'!B56)</f>
        <v>10</v>
      </c>
      <c r="D18" s="486" t="str">
        <f>IF($A18="I.O.","",'Kennzahlenbogen_(KB)'!E56)</f>
        <v>Erfassung der R1 Resektionen bei (y)pT2 c/pN0 oder Nx M0</v>
      </c>
      <c r="E18" s="487" t="str">
        <f>IF(AND('Kennzahlenbogen_(KB)'!L56="",$A18&lt;&gt;"I.O."),"-----",IF($A18="I.O.","",'Kennzahlenbogen_(KB)'!L56))</f>
        <v>-----</v>
      </c>
      <c r="F18" s="487" t="str">
        <f>IF($A18="I.O.","",'Kennzahlenbogen_(KB)'!M56)</f>
        <v>≤ 15%</v>
      </c>
      <c r="G18" s="487" t="str">
        <f>IF(AND('Kennzahlenbogen_(KB)'!O56="",$A18&lt;&gt;"I.O."),"-----",IF($A18="I.O.","",'Kennzahlenbogen_(KB)'!O56))</f>
        <v>-----</v>
      </c>
      <c r="H18" s="485" t="str">
        <f>IF($A18="I.O.","",IF('Kennzahlenbogen_(KB)'!Q56="","-----",'Kennzahlenbogen_(KB)'!Q56))</f>
        <v>-----</v>
      </c>
      <c r="I18" s="485" t="str">
        <f>IF($A18="I.O.","",IF('Kennzahlenbogen_(KB)'!Q57="","-----",'Kennzahlenbogen_(KB)'!Q57))</f>
        <v>-----</v>
      </c>
      <c r="J18" s="485" t="str">
        <f>IF($A18="I.O.","",IF('Kennzahlenbogen_(KB)'!Q58="","-----",'Kennzahlenbogen_(KB)'!Q58))</f>
        <v>n.d.</v>
      </c>
      <c r="K18" s="485" t="str">
        <f>IF($A18="I.O.","",'Kennzahlenbogen_(KB)'!R56)</f>
        <v>Unvollständig</v>
      </c>
      <c r="L18" s="486" t="str">
        <f>IF(AND('Kennzahlenbogen_(KB)'!S56="",$A18&lt;&gt;"I.O."),"-----",IF($A18="I.O.","",'Kennzahlenbogen_(KB)'!S56))</f>
        <v>-----</v>
      </c>
      <c r="M18" s="486" t="str">
        <f>IF(AND('Kennzahlenbogen_(KB)'!T56="",$A18&lt;&gt;"I.O."),"-----",IF($A18="I.O.","",'Kennzahlenbogen_(KB)'!T56))</f>
        <v>-----</v>
      </c>
      <c r="O18" s="485">
        <f t="array" aca="1" ref="O18" ca="1">IF(ROW()-ROW($D$2:$D$31)+1&gt;ROWS($C$2:$C$31)-COUNTBLANK($C$2:$C$31),"",INDIRECT(ADDRESS(SMALL((IF($C$2:$C$31&lt;&gt;"",ROW($C$2:$C$31),ROW()+ROWS($C$2:$C$31))),ROW()-ROW($D$2:$D$31)+1),COLUMN($C$2:$C$31),4)))</f>
        <v>10</v>
      </c>
      <c r="P18" s="488" t="str">
        <f t="array" aca="1" ref="P18" ca="1">IF(ROW()-ROW($E$2:$E$31)+1&gt;ROWS($D$2:$D$31)-COUNTBLANK($D$2:$D$31),"",INDIRECT(ADDRESS(SMALL((IF($D$2:$D$31&gt;"",ROW($D$2:$D$31),ROW()+ROWS($D$2:$D$31))),ROW()-ROW($E$2:$E$31)+1),COLUMN($D$2:$D$31),4)))</f>
        <v>Erfassung der R1 Resektionen bei (y)pT2 c/pN0 oder Nx M0</v>
      </c>
      <c r="Q18" s="485" t="str">
        <f t="array" aca="1" ref="Q18" ca="1">IF(ROW()-ROW($F$2:$F$31)+1&gt;ROWS($E$2:$E$31)-COUNTBLANK($E$2:$E$31),"",INDIRECT(ADDRESS(SMALL((IF($E$2:$E$31&gt;"",ROW($E$2:$E$31),ROW()+ROWS($E$2:$E$31))),ROW()-ROW($F$2:$F$31)+1),COLUMN($E$2:$E$31),4)))</f>
        <v>-----</v>
      </c>
      <c r="R18" s="485" t="str">
        <f t="array" aca="1" ref="R18" ca="1">IF(ROW()-ROW($G$2:$G$31)+1&gt;ROWS($F$2:$F$31)-COUNTBLANK($F$2:$F$31),"",INDIRECT(ADDRESS(SMALL((IF($F$2:$F$31&gt;"",ROW($F$2:$F$31),ROW()+ROWS($F$2:$F$31))),ROW()-ROW($G$2:$G$31)+1),COLUMN($F$2:$F$31),4)))</f>
        <v>≤ 15%</v>
      </c>
      <c r="S18" s="485" t="str">
        <f t="array" aca="1" ref="S18" ca="1">IF(ROW()-ROW($H$2:$H$31)+1&gt;ROWS($G$2:$G$31)-COUNTBLANK($G$2:$G$31),"",INDIRECT(ADDRESS(SMALL((IF($G$2:$G$31&lt;&gt;"",ROW($G$2:$G$31),ROW()+ROWS($G$2:$G$31))),ROW()-ROW($H$2:$H$31)+1),COLUMN($G$2:$G$31),4)))</f>
        <v>-----</v>
      </c>
      <c r="T18" s="485" t="str">
        <f t="array" aca="1" ref="T18" ca="1">IF(ROW()-ROW($I$2:$I$31)+1&gt;ROWS($H$2:$H$31)-COUNTBLANK($H$2:$H$31),"",INDIRECT(ADDRESS(SMALL((IF($H$2:$H$31&lt;&gt;"",ROW($H$2:$H$31),ROW()+ROWS($H$2:$H$31))),ROW()-ROW($I$2:$I$31)+1),COLUMN($H$2:$H$31),4)))</f>
        <v>-----</v>
      </c>
      <c r="U18" s="485" t="str">
        <f t="array" aca="1" ref="U18" ca="1">IF(ROW()-ROW($J$2:$J$31)+1&gt;ROWS($I$2:$I$31)-COUNTBLANK($I$2:$I$31),"",INDIRECT(ADDRESS(SMALL((IF($I$2:$I$31&lt;&gt;"",ROW($I$2:$I$31),ROW()+ROWS($I$2:$I$31))),ROW()-ROW($J$2:$J$31)+1),COLUMN($I$2:$I$31),4)))</f>
        <v>-----</v>
      </c>
      <c r="V18" s="485" t="str">
        <f t="array" aca="1" ref="V18" ca="1">IF(ROW()-ROW($K$2:$K$31)+1&gt;ROWS($J$2:$J$31)-COUNTBLANK($J$2:$J$31),"",INDIRECT(ADDRESS(SMALL((IF($J$2:$J$31&lt;&gt;"",ROW($J$2:$J$31),ROW()+ROWS($J$2:$J$31))),ROW()-ROW($K$2:$K$31)+1),COLUMN($J$2:$J$31),4)))</f>
        <v>n.d.</v>
      </c>
      <c r="W18" s="488" t="str">
        <f t="array" aca="1" ref="W18" ca="1">IF(ROW()-ROW($L$2:$L$31)+1&gt;ROWS($K$2:$K$31)-COUNTBLANK($K$2:$K$31),"",INDIRECT(ADDRESS(SMALL((IF($K$2:$K$31&lt;&gt;"",ROW($K$2:$K$31),ROW()+ROWS($K$2:$K$31))),ROW()-ROW($L$2:$L$31)+1),COLUMN($K$2:$K$31),4)))</f>
        <v>Unvollständig</v>
      </c>
      <c r="X18" s="488" t="str">
        <f t="array" aca="1" ref="X18" ca="1">IF(ROW()-ROW($M$2:$M$31)+1&gt;ROWS($L$2:$L$31)-COUNTBLANK($L$2:$L$31),"",INDIRECT(ADDRESS(SMALL((IF($L$2:$L$31&lt;&gt;"",ROW($L$2:$L$31),ROW()+ROWS($L$2:$L$31))),ROW()-ROW($M$2:$M$31)+1),COLUMN($L$2:$L$31),4)))</f>
        <v>-----</v>
      </c>
      <c r="Y18" s="488" t="str">
        <f t="array" aca="1" ref="Y18" ca="1">IF(ROW()-ROW($N$2:$N$31)+1&gt;ROWS($M$2:$M$31)-COUNTBLANK($M$2:$M$31),"",INDIRECT(ADDRESS(SMALL((IF($M$2:$M$31&lt;&gt;"",ROW($M$2:$M$31),ROW()+ROWS($M$2:$M$31))),ROW()-ROW($N$2:$N$31)+1),COLUMN($M$2:$M$31),4)))</f>
        <v>-----</v>
      </c>
    </row>
    <row r="19" spans="1:25" ht="58.5" customHeight="1" x14ac:dyDescent="0.25">
      <c r="A19" s="484" t="str">
        <f>IF('Kennzahlenbogen_(KB)'!R59=0,"",'Kennzahlenbogen_(KB)'!R59)</f>
        <v>Unvollständig</v>
      </c>
      <c r="C19" s="485">
        <f>IF($A19="I.O.","",'Kennzahlenbogen_(KB)'!B59)</f>
        <v>11</v>
      </c>
      <c r="D19" s="486" t="str">
        <f>IF($A19="I.O.","",'Kennzahlenbogen_(KB)'!E59)</f>
        <v>Definitive Strahlentherapie</v>
      </c>
      <c r="E19" s="487" t="str">
        <f>IF(AND('Kennzahlenbogen_(KB)'!L59="",$A19&lt;&gt;"I.O."),"-----",IF($A19="I.O.","",'Kennzahlenbogen_(KB)'!L59))</f>
        <v>&lt; 10%</v>
      </c>
      <c r="F19" s="487" t="str">
        <f>IF($A19="I.O.","",'Kennzahlenbogen_(KB)'!M59)</f>
        <v>Derzeit keine
Vorgaben</v>
      </c>
      <c r="G19" s="487" t="str">
        <f>IF(AND('Kennzahlenbogen_(KB)'!O59="",$A19&lt;&gt;"I.O."),"-----",IF($A19="I.O.","",'Kennzahlenbogen_(KB)'!O59))</f>
        <v>&gt; 90%</v>
      </c>
      <c r="H19" s="485">
        <f>IF($A19="I.O.","",IF('Kennzahlenbogen_(KB)'!Q59="","-----",'Kennzahlenbogen_(KB)'!Q59))</f>
        <v>0</v>
      </c>
      <c r="I19" s="485">
        <f>IF($A19="I.O.","",IF('Kennzahlenbogen_(KB)'!Q60="","-----",'Kennzahlenbogen_(KB)'!Q60))</f>
        <v>0</v>
      </c>
      <c r="J19" s="485" t="str">
        <f>IF($A19="I.O.","",IF('Kennzahlenbogen_(KB)'!Q61="",0,'Kennzahlenbogen_(KB)'!Q61))</f>
        <v>n.d.</v>
      </c>
      <c r="K19" s="485" t="str">
        <f>IF($A19="I.O.","",'Kennzahlenbogen_(KB)'!R59)</f>
        <v>Unvollständig</v>
      </c>
      <c r="L19" s="486" t="str">
        <f>IF(AND('Kennzahlenbogen_(KB)'!S59="",$A19&lt;&gt;"I.O."),"-----",IF($A19="I.O.","",'Kennzahlenbogen_(KB)'!S59))</f>
        <v>-----</v>
      </c>
      <c r="M19" s="486" t="str">
        <f>IF(AND('Kennzahlenbogen_(KB)'!T59="",$A19&lt;&gt;"I.O."),"-----",IF($A19="I.O.","",'Kennzahlenbogen_(KB)'!T59))</f>
        <v>-----</v>
      </c>
      <c r="O19" s="485">
        <f t="array" aca="1" ref="O19" ca="1">IF(ROW()-ROW($D$2:$D$31)+1&gt;ROWS($C$2:$C$31)-COUNTBLANK($C$2:$C$31),"",INDIRECT(ADDRESS(SMALL((IF($C$2:$C$31&lt;&gt;"",ROW($C$2:$C$31),ROW()+ROWS($C$2:$C$31))),ROW()-ROW($D$2:$D$31)+1),COLUMN($C$2:$C$31),4)))</f>
        <v>11</v>
      </c>
      <c r="P19" s="488" t="str">
        <f t="array" aca="1" ref="P19" ca="1">IF(ROW()-ROW($E$2:$E$31)+1&gt;ROWS($D$2:$D$31)-COUNTBLANK($D$2:$D$31),"",INDIRECT(ADDRESS(SMALL((IF($D$2:$D$31&gt;"",ROW($D$2:$D$31),ROW()+ROWS($D$2:$D$31))),ROW()-ROW($E$2:$E$31)+1),COLUMN($D$2:$D$31),4)))</f>
        <v>Definitive Strahlentherapie</v>
      </c>
      <c r="Q19" s="485" t="str">
        <f t="array" aca="1" ref="Q19" ca="1">IF(ROW()-ROW($F$2:$F$31)+1&gt;ROWS($E$2:$E$31)-COUNTBLANK($E$2:$E$31),"",INDIRECT(ADDRESS(SMALL((IF($E$2:$E$31&gt;"",ROW($E$2:$E$31),ROW()+ROWS($E$2:$E$31))),ROW()-ROW($F$2:$F$31)+1),COLUMN($E$2:$E$31),4)))</f>
        <v>&lt; 10%</v>
      </c>
      <c r="R19" s="485" t="str">
        <f t="array" aca="1" ref="R19" ca="1">IF(ROW()-ROW($G$2:$G$31)+1&gt;ROWS($F$2:$F$31)-COUNTBLANK($F$2:$F$31),"",INDIRECT(ADDRESS(SMALL((IF($F$2:$F$31&gt;"",ROW($F$2:$F$31),ROW()+ROWS($F$2:$F$31))),ROW()-ROW($G$2:$G$31)+1),COLUMN($F$2:$F$31),4)))</f>
        <v>Derzeit keine
Vorgaben</v>
      </c>
      <c r="S19" s="485" t="str">
        <f t="array" aca="1" ref="S19" ca="1">IF(ROW()-ROW($H$2:$H$31)+1&gt;ROWS($G$2:$G$31)-COUNTBLANK($G$2:$G$31),"",INDIRECT(ADDRESS(SMALL((IF($G$2:$G$31&lt;&gt;"",ROW($G$2:$G$31),ROW()+ROWS($G$2:$G$31))),ROW()-ROW($H$2:$H$31)+1),COLUMN($G$2:$G$31),4)))</f>
        <v>&gt; 90%</v>
      </c>
      <c r="T19" s="485">
        <f t="array" aca="1" ref="T19" ca="1">IF(ROW()-ROW($I$2:$I$31)+1&gt;ROWS($H$2:$H$31)-COUNTBLANK($H$2:$H$31),"",INDIRECT(ADDRESS(SMALL((IF($H$2:$H$31&lt;&gt;"",ROW($H$2:$H$31),ROW()+ROWS($H$2:$H$31))),ROW()-ROW($I$2:$I$31)+1),COLUMN($H$2:$H$31),4)))</f>
        <v>0</v>
      </c>
      <c r="U19" s="485">
        <f t="array" aca="1" ref="U19" ca="1">IF(ROW()-ROW($J$2:$J$31)+1&gt;ROWS($I$2:$I$31)-COUNTBLANK($I$2:$I$31),"",INDIRECT(ADDRESS(SMALL((IF($I$2:$I$31&lt;&gt;"",ROW($I$2:$I$31),ROW()+ROWS($I$2:$I$31))),ROW()-ROW($J$2:$J$31)+1),COLUMN($I$2:$I$31),4)))</f>
        <v>0</v>
      </c>
      <c r="V19" s="485" t="str">
        <f t="array" aca="1" ref="V19" ca="1">IF(ROW()-ROW($K$2:$K$31)+1&gt;ROWS($J$2:$J$31)-COUNTBLANK($J$2:$J$31),"",INDIRECT(ADDRESS(SMALL((IF($J$2:$J$31&lt;&gt;"",ROW($J$2:$J$31),ROW()+ROWS($J$2:$J$31))),ROW()-ROW($K$2:$K$31)+1),COLUMN($J$2:$J$31),4)))</f>
        <v>n.d.</v>
      </c>
      <c r="W19" s="488" t="str">
        <f t="array" aca="1" ref="W19" ca="1">IF(ROW()-ROW($L$2:$L$31)+1&gt;ROWS($K$2:$K$31)-COUNTBLANK($K$2:$K$31),"",INDIRECT(ADDRESS(SMALL((IF($K$2:$K$31&lt;&gt;"",ROW($K$2:$K$31),ROW()+ROWS($K$2:$K$31))),ROW()-ROW($L$2:$L$31)+1),COLUMN($K$2:$K$31),4)))</f>
        <v>Unvollständig</v>
      </c>
      <c r="X19" s="488" t="str">
        <f t="array" aca="1" ref="X19" ca="1">IF(ROW()-ROW($M$2:$M$31)+1&gt;ROWS($L$2:$L$31)-COUNTBLANK($L$2:$L$31),"",INDIRECT(ADDRESS(SMALL((IF($L$2:$L$31&lt;&gt;"",ROW($L$2:$L$31),ROW()+ROWS($L$2:$L$31))),ROW()-ROW($M$2:$M$31)+1),COLUMN($L$2:$L$31),4)))</f>
        <v>-----</v>
      </c>
      <c r="Y19" s="488" t="str">
        <f t="array" aca="1" ref="Y19" ca="1">IF(ROW()-ROW($N$2:$N$31)+1&gt;ROWS($M$2:$M$31)-COUNTBLANK($M$2:$M$31),"",INDIRECT(ADDRESS(SMALL((IF($M$2:$M$31&lt;&gt;"",ROW($M$2:$M$31),ROW()+ROWS($M$2:$M$31))),ROW()-ROW($N$2:$N$31)+1),COLUMN($M$2:$M$31),4)))</f>
        <v>-----</v>
      </c>
    </row>
    <row r="20" spans="1:25" ht="56.25" x14ac:dyDescent="0.25">
      <c r="A20" s="484" t="str">
        <f>IF('Kennzahlenbogen_(KB)'!R62=0,"",'Kennzahlenbogen_(KB)'!R62)</f>
        <v>Unvollständig</v>
      </c>
      <c r="C20" s="489">
        <f>IF($A20="I.O.","",'Kennzahlenbogen_(KB)'!B62)</f>
        <v>12</v>
      </c>
      <c r="D20" s="486" t="str">
        <f>IF($A20="I.O.","",'Kennzahlenbogen_(KB)'!E62)</f>
        <v xml:space="preserve">Permanente Seedimplantation – 
D 90 &gt; 130 Gy
* Durchführung dieser Therapieform ist freiwillig!    </v>
      </c>
      <c r="E20" s="487" t="str">
        <f>IF(AND('Kennzahlenbogen_(KB)'!L62="",$A20&lt;&gt;"I.O."),"-----",IF($A20="I.O.","",'Kennzahlenbogen_(KB)'!L62))</f>
        <v>-----</v>
      </c>
      <c r="F20" s="487" t="str">
        <f>IF($A20="I.O.","",'Kennzahlenbogen_(KB)'!M62)</f>
        <v>≥ 90%</v>
      </c>
      <c r="G20" s="487" t="str">
        <f>IF(AND('Kennzahlenbogen_(KB)'!O62="",$A20&lt;&gt;"I.O."),"-----",IF($A20="I.O.","",'Kennzahlenbogen_(KB)'!O62))</f>
        <v>-----</v>
      </c>
      <c r="H20" s="485" t="str">
        <f>IF($A20="I.O.","",IF('Kennzahlenbogen_(KB)'!Q62="","-----",'Kennzahlenbogen_(KB)'!Q62))</f>
        <v>-----</v>
      </c>
      <c r="I20" s="485" t="str">
        <f>IF($A20="I.O.","",IF('Kennzahlenbogen_(KB)'!Q63="","-----",'Kennzahlenbogen_(KB)'!Q63))</f>
        <v>-----</v>
      </c>
      <c r="J20" s="485" t="str">
        <f>IF($A20="I.O.","",IF('Kennzahlenbogen_(KB)'!Q64="","-----",'Kennzahlenbogen_(KB)'!Q64))</f>
        <v>n.d.</v>
      </c>
      <c r="K20" s="485" t="str">
        <f>IF($A20="I.O.","",'Kennzahlenbogen_(KB)'!R62)</f>
        <v>Unvollständig</v>
      </c>
      <c r="L20" s="486" t="str">
        <f>IF(AND('Kennzahlenbogen_(KB)'!S62="",$A20&lt;&gt;"I.O."),"-----",IF($A20="I.O.","",'Kennzahlenbogen_(KB)'!S62))</f>
        <v>-----</v>
      </c>
      <c r="M20" s="486" t="str">
        <f>IF(AND('Kennzahlenbogen_(KB)'!T62="",$A20&lt;&gt;"I.O."),"-----",IF($A20="I.O.","",'Kennzahlenbogen_(KB)'!T62))</f>
        <v>-----</v>
      </c>
      <c r="O20" s="485">
        <f t="array" aca="1" ref="O20" ca="1">IF(ROW()-ROW($D$2:$D$31)+1&gt;ROWS($C$2:$C$31)-COUNTBLANK($C$2:$C$31),"",INDIRECT(ADDRESS(SMALL((IF($C$2:$C$31&lt;&gt;"",ROW($C$2:$C$31),ROW()+ROWS($C$2:$C$31))),ROW()-ROW($D$2:$D$31)+1),COLUMN($C$2:$C$31),4)))</f>
        <v>12</v>
      </c>
      <c r="P20" s="488" t="str">
        <f t="array" aca="1" ref="P20" ca="1">IF(ROW()-ROW($E$2:$E$31)+1&gt;ROWS($D$2:$D$31)-COUNTBLANK($D$2:$D$31),"",INDIRECT(ADDRESS(SMALL((IF($D$2:$D$31&gt;"",ROW($D$2:$D$31),ROW()+ROWS($D$2:$D$31))),ROW()-ROW($E$2:$E$31)+1),COLUMN($D$2:$D$31),4)))</f>
        <v xml:space="preserve">Permanente Seedimplantation – 
D 90 &gt; 130 Gy
* Durchführung dieser Therapieform ist freiwillig!    </v>
      </c>
      <c r="Q20" s="485" t="str">
        <f t="array" aca="1" ref="Q20" ca="1">IF(ROW()-ROW($F$2:$F$31)+1&gt;ROWS($E$2:$E$31)-COUNTBLANK($E$2:$E$31),"",INDIRECT(ADDRESS(SMALL((IF($E$2:$E$31&gt;"",ROW($E$2:$E$31),ROW()+ROWS($E$2:$E$31))),ROW()-ROW($F$2:$F$31)+1),COLUMN($E$2:$E$31),4)))</f>
        <v>-----</v>
      </c>
      <c r="R20" s="485" t="str">
        <f t="array" aca="1" ref="R20" ca="1">IF(ROW()-ROW($G$2:$G$31)+1&gt;ROWS($F$2:$F$31)-COUNTBLANK($F$2:$F$31),"",INDIRECT(ADDRESS(SMALL((IF($F$2:$F$31&gt;"",ROW($F$2:$F$31),ROW()+ROWS($F$2:$F$31))),ROW()-ROW($G$2:$G$31)+1),COLUMN($F$2:$F$31),4)))</f>
        <v>≥ 90%</v>
      </c>
      <c r="S20" s="485" t="str">
        <f t="array" aca="1" ref="S20" ca="1">IF(ROW()-ROW($H$2:$H$31)+1&gt;ROWS($G$2:$G$31)-COUNTBLANK($G$2:$G$31),"",INDIRECT(ADDRESS(SMALL((IF($G$2:$G$31&lt;&gt;"",ROW($G$2:$G$31),ROW()+ROWS($G$2:$G$31))),ROW()-ROW($H$2:$H$31)+1),COLUMN($G$2:$G$31),4)))</f>
        <v>-----</v>
      </c>
      <c r="T20" s="485" t="str">
        <f t="array" aca="1" ref="T20" ca="1">IF(ROW()-ROW($I$2:$I$31)+1&gt;ROWS($H$2:$H$31)-COUNTBLANK($H$2:$H$31),"",INDIRECT(ADDRESS(SMALL((IF($H$2:$H$31&lt;&gt;"",ROW($H$2:$H$31),ROW()+ROWS($H$2:$H$31))),ROW()-ROW($I$2:$I$31)+1),COLUMN($H$2:$H$31),4)))</f>
        <v>-----</v>
      </c>
      <c r="U20" s="485" t="str">
        <f t="array" aca="1" ref="U20" ca="1">IF(ROW()-ROW($J$2:$J$31)+1&gt;ROWS($I$2:$I$31)-COUNTBLANK($I$2:$I$31),"",INDIRECT(ADDRESS(SMALL((IF($I$2:$I$31&lt;&gt;"",ROW($I$2:$I$31),ROW()+ROWS($I$2:$I$31))),ROW()-ROW($J$2:$J$31)+1),COLUMN($I$2:$I$31),4)))</f>
        <v>-----</v>
      </c>
      <c r="V20" s="485" t="str">
        <f t="array" aca="1" ref="V20" ca="1">IF(ROW()-ROW($K$2:$K$31)+1&gt;ROWS($J$2:$J$31)-COUNTBLANK($J$2:$J$31),"",INDIRECT(ADDRESS(SMALL((IF($J$2:$J$31&lt;&gt;"",ROW($J$2:$J$31),ROW()+ROWS($J$2:$J$31))),ROW()-ROW($K$2:$K$31)+1),COLUMN($J$2:$J$31),4)))</f>
        <v>n.d.</v>
      </c>
      <c r="W20" s="488" t="str">
        <f t="array" aca="1" ref="W20" ca="1">IF(ROW()-ROW($L$2:$L$31)+1&gt;ROWS($K$2:$K$31)-COUNTBLANK($K$2:$K$31),"",INDIRECT(ADDRESS(SMALL((IF($K$2:$K$31&lt;&gt;"",ROW($K$2:$K$31),ROW()+ROWS($K$2:$K$31))),ROW()-ROW($L$2:$L$31)+1),COLUMN($K$2:$K$31),4)))</f>
        <v>Unvollständig</v>
      </c>
      <c r="X20" s="488" t="str">
        <f t="array" aca="1" ref="X20" ca="1">IF(ROW()-ROW($M$2:$M$31)+1&gt;ROWS($L$2:$L$31)-COUNTBLANK($L$2:$L$31),"",INDIRECT(ADDRESS(SMALL((IF($L$2:$L$31&lt;&gt;"",ROW($L$2:$L$31),ROW()+ROWS($L$2:$L$31))),ROW()-ROW($M$2:$M$31)+1),COLUMN($L$2:$L$31),4)))</f>
        <v>-----</v>
      </c>
      <c r="Y20" s="488" t="str">
        <f t="array" aca="1" ref="Y20" ca="1">IF(ROW()-ROW($N$2:$N$31)+1&gt;ROWS($M$2:$M$31)-COUNTBLANK($M$2:$M$31),"",INDIRECT(ADDRESS(SMALL((IF($M$2:$M$31&lt;&gt;"",ROW($M$2:$M$31),ROW()+ROWS($M$2:$M$31))),ROW()-ROW($N$2:$N$31)+1),COLUMN($M$2:$M$31),4)))</f>
        <v>-----</v>
      </c>
    </row>
    <row r="21" spans="1:25" ht="45" x14ac:dyDescent="0.25">
      <c r="A21" s="484" t="str">
        <f>IF('Kennzahlenbogen_(KB)'!R65=0,"",'Kennzahlenbogen_(KB)'!R65)</f>
        <v>Unvollständig</v>
      </c>
      <c r="C21" s="485">
        <f>IF($A21="I.O.","",'Kennzahlenbogen_(KB)'!B65)</f>
        <v>13</v>
      </c>
      <c r="D21" s="486" t="str">
        <f>IF($A21="I.O.","",'Kennzahlenbogen_(KB)'!E65)</f>
        <v>HDR-Brachytherapie
* Durchführung dieser Therapieform ist freiwillig!</v>
      </c>
      <c r="E21" s="487" t="str">
        <f>IF(AND('Kennzahlenbogen_(KB)'!L65="",$A21&lt;&gt;"I.O."),"-----",IF($A21="I.O.","",'Kennzahlenbogen_(KB)'!L65))</f>
        <v>-----</v>
      </c>
      <c r="F21" s="487" t="str">
        <f>IF($A21="I.O.","",'Kennzahlenbogen_(KB)'!M65)</f>
        <v>Derzeit keine
Vorgaben</v>
      </c>
      <c r="G21" s="487" t="str">
        <f>IF(AND('Kennzahlenbogen_(KB)'!O65="",$A21&lt;&gt;"I.O."),"-----",IF($A21="I.O.","",'Kennzahlenbogen_(KB)'!O65))</f>
        <v>-----</v>
      </c>
      <c r="H21" s="485">
        <f>IF($A21="I.O.","",IF('Kennzahlenbogen_(KB)'!Q65="","-----",'Kennzahlenbogen_(KB)'!Q65))</f>
        <v>0</v>
      </c>
      <c r="I21" s="485">
        <f>IF($A21="I.O.","",IF('Kennzahlenbogen_(KB)'!Q66="","-----",'Kennzahlenbogen_(KB)'!Q66))</f>
        <v>0</v>
      </c>
      <c r="J21" s="485" t="str">
        <f>IF($A21="I.O.","",IF('Kennzahlenbogen_(KB)'!Q67="",0,'Kennzahlenbogen_(KB)'!Q67))</f>
        <v>n.d.</v>
      </c>
      <c r="K21" s="485" t="str">
        <f>IF($A21="I.O.","",'Kennzahlenbogen_(KB)'!R65)</f>
        <v>Unvollständig</v>
      </c>
      <c r="L21" s="486" t="str">
        <f>IF(AND('Kennzahlenbogen_(KB)'!S65="",$A21&lt;&gt;"I.O."),"-----",IF($A21="I.O.","",'Kennzahlenbogen_(KB)'!S65))</f>
        <v>-----</v>
      </c>
      <c r="M21" s="486" t="str">
        <f>IF(AND('Kennzahlenbogen_(KB)'!T65="",$A21&lt;&gt;"I.O."),"-----",IF($A21="I.O.","",'Kennzahlenbogen_(KB)'!T65))</f>
        <v>-----</v>
      </c>
      <c r="O21" s="485">
        <f t="array" aca="1" ref="O21" ca="1">IF(ROW()-ROW($D$2:$D$31)+1&gt;ROWS($C$2:$C$31)-COUNTBLANK($C$2:$C$31),"",INDIRECT(ADDRESS(SMALL((IF($C$2:$C$31&lt;&gt;"",ROW($C$2:$C$31),ROW()+ROWS($C$2:$C$31))),ROW()-ROW($D$2:$D$31)+1),COLUMN($C$2:$C$31),4)))</f>
        <v>13</v>
      </c>
      <c r="P21" s="488" t="str">
        <f t="array" aca="1" ref="P21" ca="1">IF(ROW()-ROW($E$2:$E$31)+1&gt;ROWS($D$2:$D$31)-COUNTBLANK($D$2:$D$31),"",INDIRECT(ADDRESS(SMALL((IF($D$2:$D$31&gt;"",ROW($D$2:$D$31),ROW()+ROWS($D$2:$D$31))),ROW()-ROW($E$2:$E$31)+1),COLUMN($D$2:$D$31),4)))</f>
        <v>HDR-Brachytherapie
* Durchführung dieser Therapieform ist freiwillig!</v>
      </c>
      <c r="Q21" s="485" t="str">
        <f t="array" aca="1" ref="Q21" ca="1">IF(ROW()-ROW($F$2:$F$31)+1&gt;ROWS($E$2:$E$31)-COUNTBLANK($E$2:$E$31),"",INDIRECT(ADDRESS(SMALL((IF($E$2:$E$31&gt;"",ROW($E$2:$E$31),ROW()+ROWS($E$2:$E$31))),ROW()-ROW($F$2:$F$31)+1),COLUMN($E$2:$E$31),4)))</f>
        <v>-----</v>
      </c>
      <c r="R21" s="485" t="str">
        <f t="array" aca="1" ref="R21" ca="1">IF(ROW()-ROW($G$2:$G$31)+1&gt;ROWS($F$2:$F$31)-COUNTBLANK($F$2:$F$31),"",INDIRECT(ADDRESS(SMALL((IF($F$2:$F$31&gt;"",ROW($F$2:$F$31),ROW()+ROWS($F$2:$F$31))),ROW()-ROW($G$2:$G$31)+1),COLUMN($F$2:$F$31),4)))</f>
        <v>Derzeit keine
Vorgaben</v>
      </c>
      <c r="S21" s="485" t="str">
        <f t="array" aca="1" ref="S21" ca="1">IF(ROW()-ROW($H$2:$H$31)+1&gt;ROWS($G$2:$G$31)-COUNTBLANK($G$2:$G$31),"",INDIRECT(ADDRESS(SMALL((IF($G$2:$G$31&lt;&gt;"",ROW($G$2:$G$31),ROW()+ROWS($G$2:$G$31))),ROW()-ROW($H$2:$H$31)+1),COLUMN($G$2:$G$31),4)))</f>
        <v>-----</v>
      </c>
      <c r="T21" s="485">
        <f t="array" aca="1" ref="T21" ca="1">IF(ROW()-ROW($I$2:$I$31)+1&gt;ROWS($H$2:$H$31)-COUNTBLANK($H$2:$H$31),"",INDIRECT(ADDRESS(SMALL((IF($H$2:$H$31&lt;&gt;"",ROW($H$2:$H$31),ROW()+ROWS($H$2:$H$31))),ROW()-ROW($I$2:$I$31)+1),COLUMN($H$2:$H$31),4)))</f>
        <v>0</v>
      </c>
      <c r="U21" s="485">
        <f t="array" aca="1" ref="U21" ca="1">IF(ROW()-ROW($J$2:$J$31)+1&gt;ROWS($I$2:$I$31)-COUNTBLANK($I$2:$I$31),"",INDIRECT(ADDRESS(SMALL((IF($I$2:$I$31&lt;&gt;"",ROW($I$2:$I$31),ROW()+ROWS($I$2:$I$31))),ROW()-ROW($J$2:$J$31)+1),COLUMN($I$2:$I$31),4)))</f>
        <v>0</v>
      </c>
      <c r="V21" s="485" t="str">
        <f t="array" aca="1" ref="V21" ca="1">IF(ROW()-ROW($K$2:$K$31)+1&gt;ROWS($J$2:$J$31)-COUNTBLANK($J$2:$J$31),"",INDIRECT(ADDRESS(SMALL((IF($J$2:$J$31&lt;&gt;"",ROW($J$2:$J$31),ROW()+ROWS($J$2:$J$31))),ROW()-ROW($K$2:$K$31)+1),COLUMN($J$2:$J$31),4)))</f>
        <v>n.d.</v>
      </c>
      <c r="W21" s="488" t="str">
        <f t="array" aca="1" ref="W21" ca="1">IF(ROW()-ROW($L$2:$L$31)+1&gt;ROWS($K$2:$K$31)-COUNTBLANK($K$2:$K$31),"",INDIRECT(ADDRESS(SMALL((IF($K$2:$K$31&lt;&gt;"",ROW($K$2:$K$31),ROW()+ROWS($K$2:$K$31))),ROW()-ROW($L$2:$L$31)+1),COLUMN($K$2:$K$31),4)))</f>
        <v>Unvollständig</v>
      </c>
      <c r="X21" s="488" t="str">
        <f t="array" aca="1" ref="X21" ca="1">IF(ROW()-ROW($M$2:$M$31)+1&gt;ROWS($L$2:$L$31)-COUNTBLANK($L$2:$L$31),"",INDIRECT(ADDRESS(SMALL((IF($L$2:$L$31&lt;&gt;"",ROW($L$2:$L$31),ROW()+ROWS($L$2:$L$31))),ROW()-ROW($M$2:$M$31)+1),COLUMN($L$2:$L$31),4)))</f>
        <v>-----</v>
      </c>
      <c r="Y21" s="488" t="str">
        <f t="array" aca="1" ref="Y21" ca="1">IF(ROW()-ROW($N$2:$N$31)+1&gt;ROWS($M$2:$M$31)-COUNTBLANK($M$2:$M$31),"",INDIRECT(ADDRESS(SMALL((IF($M$2:$M$31&lt;&gt;"",ROW($M$2:$M$31),ROW()+ROWS($M$2:$M$31))),ROW()-ROW($N$2:$N$31)+1),COLUMN($M$2:$M$31),4)))</f>
        <v>-----</v>
      </c>
    </row>
    <row r="22" spans="1:25" ht="46.5" customHeight="1" x14ac:dyDescent="0.25">
      <c r="A22" s="484" t="str">
        <f>IF('Kennzahlenbogen_(KB)'!R68=0,"",'Kennzahlenbogen_(KB)'!R68)</f>
        <v>Unvollständig</v>
      </c>
      <c r="C22" s="489">
        <f>IF($A22="I.O.","",'Kennzahlenbogen_(KB)'!B68)</f>
        <v>14</v>
      </c>
      <c r="D22" s="486" t="str">
        <f>IF($A22="I.O.","",'Kennzahlenbogen_(KB)'!E68)</f>
        <v>Befundbericht Stanzbiopsie</v>
      </c>
      <c r="E22" s="487" t="str">
        <f>IF(AND('Kennzahlenbogen_(KB)'!L68="",$A22&lt;&gt;"I.O."),"-----",IF($A22="I.O.","",'Kennzahlenbogen_(KB)'!L68))</f>
        <v>-----</v>
      </c>
      <c r="F22" s="487" t="str">
        <f>IF($A22="I.O.","",'Kennzahlenbogen_(KB)'!M68)</f>
        <v>≥ 90%</v>
      </c>
      <c r="G22" s="487" t="str">
        <f>IF(AND('Kennzahlenbogen_(KB)'!O68="",$A22&lt;&gt;"I.O."),"-----",IF($A22="I.O.","",'Kennzahlenbogen_(KB)'!O68))</f>
        <v>-----</v>
      </c>
      <c r="H22" s="485" t="str">
        <f>IF($A22="I.O.","",IF('Kennzahlenbogen_(KB)'!Q68="","-----",'Kennzahlenbogen_(KB)'!Q68))</f>
        <v>-----</v>
      </c>
      <c r="I22" s="485" t="str">
        <f>IF($A22="I.O.","",IF('Kennzahlenbogen_(KB)'!Q69="","-----",'Kennzahlenbogen_(KB)'!Q69))</f>
        <v>-----</v>
      </c>
      <c r="J22" s="485" t="str">
        <f>IF($A22="I.O.","",IF('Kennzahlenbogen_(KB)'!Q70="","-----",'Kennzahlenbogen_(KB)'!Q70))</f>
        <v>n.d.</v>
      </c>
      <c r="K22" s="485" t="str">
        <f>IF($A22="I.O.","",'Kennzahlenbogen_(KB)'!R68)</f>
        <v>Unvollständig</v>
      </c>
      <c r="L22" s="486" t="str">
        <f>IF(AND('Kennzahlenbogen_(KB)'!S68="",$A22&lt;&gt;"I.O."),"-----",IF($A22="I.O.","",'Kennzahlenbogen_(KB)'!S68))</f>
        <v>-----</v>
      </c>
      <c r="M22" s="486" t="str">
        <f>IF(AND('Kennzahlenbogen_(KB)'!T68="",$A22&lt;&gt;"I.O."),"-----",IF($A22="I.O.","",'Kennzahlenbogen_(KB)'!T68))</f>
        <v>-----</v>
      </c>
      <c r="O22" s="485">
        <f t="array" aca="1" ref="O22" ca="1">IF(ROW()-ROW($D$2:$D$31)+1&gt;ROWS($C$2:$C$31)-COUNTBLANK($C$2:$C$31),"",INDIRECT(ADDRESS(SMALL((IF($C$2:$C$31&lt;&gt;"",ROW($C$2:$C$31),ROW()+ROWS($C$2:$C$31))),ROW()-ROW($D$2:$D$31)+1),COLUMN($C$2:$C$31),4)))</f>
        <v>14</v>
      </c>
      <c r="P22" s="488" t="str">
        <f t="array" aca="1" ref="P22" ca="1">IF(ROW()-ROW($E$2:$E$31)+1&gt;ROWS($D$2:$D$31)-COUNTBLANK($D$2:$D$31),"",INDIRECT(ADDRESS(SMALL((IF($D$2:$D$31&gt;"",ROW($D$2:$D$31),ROW()+ROWS($D$2:$D$31))),ROW()-ROW($E$2:$E$31)+1),COLUMN($D$2:$D$31),4)))</f>
        <v>Befundbericht Stanzbiopsie</v>
      </c>
      <c r="Q22" s="485" t="str">
        <f t="array" aca="1" ref="Q22" ca="1">IF(ROW()-ROW($F$2:$F$31)+1&gt;ROWS($E$2:$E$31)-COUNTBLANK($E$2:$E$31),"",INDIRECT(ADDRESS(SMALL((IF($E$2:$E$31&gt;"",ROW($E$2:$E$31),ROW()+ROWS($E$2:$E$31))),ROW()-ROW($F$2:$F$31)+1),COLUMN($E$2:$E$31),4)))</f>
        <v>-----</v>
      </c>
      <c r="R22" s="485" t="str">
        <f t="array" aca="1" ref="R22" ca="1">IF(ROW()-ROW($G$2:$G$31)+1&gt;ROWS($F$2:$F$31)-COUNTBLANK($F$2:$F$31),"",INDIRECT(ADDRESS(SMALL((IF($F$2:$F$31&gt;"",ROW($F$2:$F$31),ROW()+ROWS($F$2:$F$31))),ROW()-ROW($G$2:$G$31)+1),COLUMN($F$2:$F$31),4)))</f>
        <v>≥ 90%</v>
      </c>
      <c r="S22" s="485" t="str">
        <f t="array" aca="1" ref="S22" ca="1">IF(ROW()-ROW($H$2:$H$31)+1&gt;ROWS($G$2:$G$31)-COUNTBLANK($G$2:$G$31),"",INDIRECT(ADDRESS(SMALL((IF($G$2:$G$31&lt;&gt;"",ROW($G$2:$G$31),ROW()+ROWS($G$2:$G$31))),ROW()-ROW($H$2:$H$31)+1),COLUMN($G$2:$G$31),4)))</f>
        <v>-----</v>
      </c>
      <c r="T22" s="485" t="str">
        <f t="array" aca="1" ref="T22" ca="1">IF(ROW()-ROW($I$2:$I$31)+1&gt;ROWS($H$2:$H$31)-COUNTBLANK($H$2:$H$31),"",INDIRECT(ADDRESS(SMALL((IF($H$2:$H$31&lt;&gt;"",ROW($H$2:$H$31),ROW()+ROWS($H$2:$H$31))),ROW()-ROW($I$2:$I$31)+1),COLUMN($H$2:$H$31),4)))</f>
        <v>-----</v>
      </c>
      <c r="U22" s="485" t="str">
        <f t="array" aca="1" ref="U22" ca="1">IF(ROW()-ROW($J$2:$J$31)+1&gt;ROWS($I$2:$I$31)-COUNTBLANK($I$2:$I$31),"",INDIRECT(ADDRESS(SMALL((IF($I$2:$I$31&lt;&gt;"",ROW($I$2:$I$31),ROW()+ROWS($I$2:$I$31))),ROW()-ROW($J$2:$J$31)+1),COLUMN($I$2:$I$31),4)))</f>
        <v>-----</v>
      </c>
      <c r="V22" s="485" t="str">
        <f t="array" aca="1" ref="V22" ca="1">IF(ROW()-ROW($K$2:$K$31)+1&gt;ROWS($J$2:$J$31)-COUNTBLANK($J$2:$J$31),"",INDIRECT(ADDRESS(SMALL((IF($J$2:$J$31&lt;&gt;"",ROW($J$2:$J$31),ROW()+ROWS($J$2:$J$31))),ROW()-ROW($K$2:$K$31)+1),COLUMN($J$2:$J$31),4)))</f>
        <v>n.d.</v>
      </c>
      <c r="W22" s="488" t="str">
        <f t="array" aca="1" ref="W22" ca="1">IF(ROW()-ROW($L$2:$L$31)+1&gt;ROWS($K$2:$K$31)-COUNTBLANK($K$2:$K$31),"",INDIRECT(ADDRESS(SMALL((IF($K$2:$K$31&lt;&gt;"",ROW($K$2:$K$31),ROW()+ROWS($K$2:$K$31))),ROW()-ROW($L$2:$L$31)+1),COLUMN($K$2:$K$31),4)))</f>
        <v>Unvollständig</v>
      </c>
      <c r="X22" s="488" t="str">
        <f t="array" aca="1" ref="X22" ca="1">IF(ROW()-ROW($M$2:$M$31)+1&gt;ROWS($L$2:$L$31)-COUNTBLANK($L$2:$L$31),"",INDIRECT(ADDRESS(SMALL((IF($L$2:$L$31&lt;&gt;"",ROW($L$2:$L$31),ROW()+ROWS($L$2:$L$31))),ROW()-ROW($M$2:$M$31)+1),COLUMN($L$2:$L$31),4)))</f>
        <v>-----</v>
      </c>
      <c r="Y22" s="488" t="str">
        <f t="array" aca="1" ref="Y22" ca="1">IF(ROW()-ROW($N$2:$N$31)+1&gt;ROWS($M$2:$M$31)-COUNTBLANK($M$2:$M$31),"",INDIRECT(ADDRESS(SMALL((IF($M$2:$M$31&lt;&gt;"",ROW($M$2:$M$31),ROW()+ROWS($M$2:$M$31))),ROW()-ROW($N$2:$N$31)+1),COLUMN($M$2:$M$31),4)))</f>
        <v>-----</v>
      </c>
    </row>
    <row r="23" spans="1:25" ht="46.5" customHeight="1" x14ac:dyDescent="0.25">
      <c r="A23" s="484" t="str">
        <f>IF('Kennzahlenbogen_(KB)'!R71=0,"",'Kennzahlenbogen_(KB)'!R71)</f>
        <v>Unvollständig</v>
      </c>
      <c r="C23" s="489">
        <f>IF($A23="I.O.","",'Kennzahlenbogen_(KB)'!B71)</f>
        <v>15</v>
      </c>
      <c r="D23" s="486" t="str">
        <f>IF($A23="I.O.","",'Kennzahlenbogen_(KB)'!E71)</f>
        <v>Befundbericht Lymphknoten</v>
      </c>
      <c r="E23" s="487" t="str">
        <f>IF(AND('Kennzahlenbogen_(KB)'!L71="",$A23&lt;&gt;"I.O."),"-----",IF($A23="I.O.","",'Kennzahlenbogen_(KB)'!L71))</f>
        <v>-----</v>
      </c>
      <c r="F23" s="487" t="str">
        <f>IF($A23="I.O.","",'Kennzahlenbogen_(KB)'!M71)</f>
        <v>≥ 80%</v>
      </c>
      <c r="G23" s="487" t="str">
        <f>IF(AND('Kennzahlenbogen_(KB)'!O71="",$A23&lt;&gt;"I.O."),"-----",IF($A23="I.O.","",'Kennzahlenbogen_(KB)'!O71))</f>
        <v>-----</v>
      </c>
      <c r="H23" s="485" t="str">
        <f>IF($A23="I.O.","",IF('Kennzahlenbogen_(KB)'!Q71="","-----",'Kennzahlenbogen_(KB)'!Q71))</f>
        <v>-----</v>
      </c>
      <c r="I23" s="485" t="str">
        <f>IF($A23="I.O.","",IF('Kennzahlenbogen_(KB)'!Q72="","-----",'Kennzahlenbogen_(KB)'!Q72))</f>
        <v>-----</v>
      </c>
      <c r="J23" s="485" t="str">
        <f>IF($A23="I.O.","",IF('Kennzahlenbogen_(KB)'!Q73="","-----",'Kennzahlenbogen_(KB)'!Q73))</f>
        <v>n.d.</v>
      </c>
      <c r="K23" s="485" t="str">
        <f>IF($A23="I.O.","",'Kennzahlenbogen_(KB)'!R71)</f>
        <v>Unvollständig</v>
      </c>
      <c r="L23" s="486" t="str">
        <f>IF(AND('Kennzahlenbogen_(KB)'!S71="",$A23&lt;&gt;"I.O."),"-----",IF($A23="I.O.","",'Kennzahlenbogen_(KB)'!S71))</f>
        <v>-----</v>
      </c>
      <c r="M23" s="486" t="str">
        <f>IF(AND('Kennzahlenbogen_(KB)'!T71="",$A23&lt;&gt;"I.O."),"-----",IF($A23="I.O.","",'Kennzahlenbogen_(KB)'!T71))</f>
        <v>-----</v>
      </c>
      <c r="O23" s="485">
        <f t="array" aca="1" ref="O23" ca="1">IF(ROW()-ROW($D$2:$D$31)+1&gt;ROWS($C$2:$C$31)-COUNTBLANK($C$2:$C$31),"",INDIRECT(ADDRESS(SMALL((IF($C$2:$C$31&lt;&gt;"",ROW($C$2:$C$31),ROW()+ROWS($C$2:$C$31))),ROW()-ROW($D$2:$D$31)+1),COLUMN($C$2:$C$31),4)))</f>
        <v>15</v>
      </c>
      <c r="P23" s="488" t="str">
        <f t="array" aca="1" ref="P23" ca="1">IF(ROW()-ROW($E$2:$E$31)+1&gt;ROWS($D$2:$D$31)-COUNTBLANK($D$2:$D$31),"",INDIRECT(ADDRESS(SMALL((IF($D$2:$D$31&gt;"",ROW($D$2:$D$31),ROW()+ROWS($D$2:$D$31))),ROW()-ROW($E$2:$E$31)+1),COLUMN($D$2:$D$31),4)))</f>
        <v>Befundbericht Lymphknoten</v>
      </c>
      <c r="Q23" s="485" t="str">
        <f t="array" aca="1" ref="Q23" ca="1">IF(ROW()-ROW($F$2:$F$31)+1&gt;ROWS($E$2:$E$31)-COUNTBLANK($E$2:$E$31),"",INDIRECT(ADDRESS(SMALL((IF($E$2:$E$31&gt;"",ROW($E$2:$E$31),ROW()+ROWS($E$2:$E$31))),ROW()-ROW($F$2:$F$31)+1),COLUMN($E$2:$E$31),4)))</f>
        <v>-----</v>
      </c>
      <c r="R23" s="485" t="str">
        <f t="array" aca="1" ref="R23" ca="1">IF(ROW()-ROW($G$2:$G$31)+1&gt;ROWS($F$2:$F$31)-COUNTBLANK($F$2:$F$31),"",INDIRECT(ADDRESS(SMALL((IF($F$2:$F$31&gt;"",ROW($F$2:$F$31),ROW()+ROWS($F$2:$F$31))),ROW()-ROW($G$2:$G$31)+1),COLUMN($F$2:$F$31),4)))</f>
        <v>≥ 80%</v>
      </c>
      <c r="S23" s="485" t="str">
        <f t="array" aca="1" ref="S23" ca="1">IF(ROW()-ROW($H$2:$H$31)+1&gt;ROWS($G$2:$G$31)-COUNTBLANK($G$2:$G$31),"",INDIRECT(ADDRESS(SMALL((IF($G$2:$G$31&lt;&gt;"",ROW($G$2:$G$31),ROW()+ROWS($G$2:$G$31))),ROW()-ROW($H$2:$H$31)+1),COLUMN($G$2:$G$31),4)))</f>
        <v>-----</v>
      </c>
      <c r="T23" s="485" t="str">
        <f t="array" aca="1" ref="T23" ca="1">IF(ROW()-ROW($I$2:$I$31)+1&gt;ROWS($H$2:$H$31)-COUNTBLANK($H$2:$H$31),"",INDIRECT(ADDRESS(SMALL((IF($H$2:$H$31&lt;&gt;"",ROW($H$2:$H$31),ROW()+ROWS($H$2:$H$31))),ROW()-ROW($I$2:$I$31)+1),COLUMN($H$2:$H$31),4)))</f>
        <v>-----</v>
      </c>
      <c r="U23" s="485" t="str">
        <f t="array" aca="1" ref="U23" ca="1">IF(ROW()-ROW($J$2:$J$31)+1&gt;ROWS($I$2:$I$31)-COUNTBLANK($I$2:$I$31),"",INDIRECT(ADDRESS(SMALL((IF($I$2:$I$31&lt;&gt;"",ROW($I$2:$I$31),ROW()+ROWS($I$2:$I$31))),ROW()-ROW($J$2:$J$31)+1),COLUMN($I$2:$I$31),4)))</f>
        <v>-----</v>
      </c>
      <c r="V23" s="485" t="str">
        <f t="array" aca="1" ref="V23" ca="1">IF(ROW()-ROW($K$2:$K$31)+1&gt;ROWS($J$2:$J$31)-COUNTBLANK($J$2:$J$31),"",INDIRECT(ADDRESS(SMALL((IF($J$2:$J$31&lt;&gt;"",ROW($J$2:$J$31),ROW()+ROWS($J$2:$J$31))),ROW()-ROW($K$2:$K$31)+1),COLUMN($J$2:$J$31),4)))</f>
        <v>n.d.</v>
      </c>
      <c r="W23" s="488" t="str">
        <f t="array" aca="1" ref="W23" ca="1">IF(ROW()-ROW($L$2:$L$31)+1&gt;ROWS($K$2:$K$31)-COUNTBLANK($K$2:$K$31),"",INDIRECT(ADDRESS(SMALL((IF($K$2:$K$31&lt;&gt;"",ROW($K$2:$K$31),ROW()+ROWS($K$2:$K$31))),ROW()-ROW($L$2:$L$31)+1),COLUMN($K$2:$K$31),4)))</f>
        <v>Unvollständig</v>
      </c>
      <c r="X23" s="488" t="str">
        <f t="array" aca="1" ref="X23" ca="1">IF(ROW()-ROW($M$2:$M$31)+1&gt;ROWS($L$2:$L$31)-COUNTBLANK($L$2:$L$31),"",INDIRECT(ADDRESS(SMALL((IF($L$2:$L$31&lt;&gt;"",ROW($L$2:$L$31),ROW()+ROWS($L$2:$L$31))),ROW()-ROW($M$2:$M$31)+1),COLUMN($L$2:$L$31),4)))</f>
        <v>-----</v>
      </c>
      <c r="Y23" s="488" t="str">
        <f t="array" aca="1" ref="Y23" ca="1">IF(ROW()-ROW($N$2:$N$31)+1&gt;ROWS($M$2:$M$31)-COUNTBLANK($M$2:$M$31),"",INDIRECT(ADDRESS(SMALL((IF($M$2:$M$31&lt;&gt;"",ROW($M$2:$M$31),ROW()+ROWS($M$2:$M$31))),ROW()-ROW($N$2:$N$31)+1),COLUMN($M$2:$M$31),4)))</f>
        <v>-----</v>
      </c>
    </row>
    <row r="24" spans="1:25" ht="46.5" customHeight="1" x14ac:dyDescent="0.25">
      <c r="A24" s="484" t="str">
        <f>IF('Kennzahlenbogen_(KB)'!R74=0,"",'Kennzahlenbogen_(KB)'!R74)</f>
        <v>Unvollständig</v>
      </c>
      <c r="C24" s="489">
        <f>IF($A24="I.O.","",'Kennzahlenbogen_(KB)'!B74)</f>
        <v>16</v>
      </c>
      <c r="D24" s="486" t="str">
        <f>IF($A24="I.O.","",'Kennzahlenbogen_(KB)'!E74)</f>
        <v>Beginn Salvage-Radiotherapie bei rezidiviertem PCa</v>
      </c>
      <c r="E24" s="487" t="str">
        <f>IF(AND('Kennzahlenbogen_(KB)'!L74="",$A24&lt;&gt;"I.O."),"-----",IF($A24="I.O.","",'Kennzahlenbogen_(KB)'!L74))</f>
        <v>-----</v>
      </c>
      <c r="F24" s="487" t="str">
        <f>IF($A24="I.O.","",'Kennzahlenbogen_(KB)'!M74)</f>
        <v>≥ 70%</v>
      </c>
      <c r="G24" s="487" t="str">
        <f>IF(AND('Kennzahlenbogen_(KB)'!O74="",$A24&lt;&gt;"I.O."),"-----",IF($A24="I.O.","",'Kennzahlenbogen_(KB)'!O74))</f>
        <v>-----</v>
      </c>
      <c r="H24" s="485" t="str">
        <f>IF($A24="I.O.","",IF('Kennzahlenbogen_(KB)'!Q74="","-----",'Kennzahlenbogen_(KB)'!Q74))</f>
        <v>-----</v>
      </c>
      <c r="I24" s="485" t="str">
        <f>IF($A24="I.O.","",IF('Kennzahlenbogen_(KB)'!Q75="","-----",'Kennzahlenbogen_(KB)'!Q75))</f>
        <v>-----</v>
      </c>
      <c r="J24" s="485" t="str">
        <f>IF($A24="I.O.","",IF('Kennzahlenbogen_(KB)'!Q76="","-----",'Kennzahlenbogen_(KB)'!Q76))</f>
        <v>n.d.</v>
      </c>
      <c r="K24" s="485" t="str">
        <f>IF($A24="I.O.","",'Kennzahlenbogen_(KB)'!R74)</f>
        <v>Unvollständig</v>
      </c>
      <c r="L24" s="486" t="str">
        <f>IF(AND('Kennzahlenbogen_(KB)'!S74="",$A24&lt;&gt;"I.O."),"-----",IF($A24="I.O.","",'Kennzahlenbogen_(KB)'!S74))</f>
        <v>-----</v>
      </c>
      <c r="M24" s="486" t="str">
        <f>IF(AND('Kennzahlenbogen_(KB)'!T74="",$A24&lt;&gt;"I.O."),"-----",IF($A24="I.O.","",'Kennzahlenbogen_(KB)'!T74))</f>
        <v>-----</v>
      </c>
      <c r="O24" s="485">
        <f t="array" aca="1" ref="O24" ca="1">IF(ROW()-ROW($D$2:$D$31)+1&gt;ROWS($C$2:$C$31)-COUNTBLANK($C$2:$C$31),"",INDIRECT(ADDRESS(SMALL((IF($C$2:$C$31&lt;&gt;"",ROW($C$2:$C$31),ROW()+ROWS($C$2:$C$31))),ROW()-ROW($D$2:$D$31)+1),COLUMN($C$2:$C$31),4)))</f>
        <v>16</v>
      </c>
      <c r="P24" s="488" t="str">
        <f t="array" aca="1" ref="P24" ca="1">IF(ROW()-ROW($E$2:$E$31)+1&gt;ROWS($D$2:$D$31)-COUNTBLANK($D$2:$D$31),"",INDIRECT(ADDRESS(SMALL((IF($D$2:$D$31&gt;"",ROW($D$2:$D$31),ROW()+ROWS($D$2:$D$31))),ROW()-ROW($E$2:$E$31)+1),COLUMN($D$2:$D$31),4)))</f>
        <v>Beginn Salvage-Radiotherapie bei rezidiviertem PCa</v>
      </c>
      <c r="Q24" s="485" t="str">
        <f t="array" aca="1" ref="Q24" ca="1">IF(ROW()-ROW($F$2:$F$31)+1&gt;ROWS($E$2:$E$31)-COUNTBLANK($E$2:$E$31),"",INDIRECT(ADDRESS(SMALL((IF($E$2:$E$31&gt;"",ROW($E$2:$E$31),ROW()+ROWS($E$2:$E$31))),ROW()-ROW($F$2:$F$31)+1),COLUMN($E$2:$E$31),4)))</f>
        <v>-----</v>
      </c>
      <c r="R24" s="485" t="str">
        <f t="array" aca="1" ref="R24" ca="1">IF(ROW()-ROW($G$2:$G$31)+1&gt;ROWS($F$2:$F$31)-COUNTBLANK($F$2:$F$31),"",INDIRECT(ADDRESS(SMALL((IF($F$2:$F$31&gt;"",ROW($F$2:$F$31),ROW()+ROWS($F$2:$F$31))),ROW()-ROW($G$2:$G$31)+1),COLUMN($F$2:$F$31),4)))</f>
        <v>≥ 70%</v>
      </c>
      <c r="S24" s="485" t="str">
        <f t="array" aca="1" ref="S24" ca="1">IF(ROW()-ROW($H$2:$H$31)+1&gt;ROWS($G$2:$G$31)-COUNTBLANK($G$2:$G$31),"",INDIRECT(ADDRESS(SMALL((IF($G$2:$G$31&lt;&gt;"",ROW($G$2:$G$31),ROW()+ROWS($G$2:$G$31))),ROW()-ROW($H$2:$H$31)+1),COLUMN($G$2:$G$31),4)))</f>
        <v>-----</v>
      </c>
      <c r="T24" s="485" t="str">
        <f t="array" aca="1" ref="T24" ca="1">IF(ROW()-ROW($I$2:$I$31)+1&gt;ROWS($H$2:$H$31)-COUNTBLANK($H$2:$H$31),"",INDIRECT(ADDRESS(SMALL((IF($H$2:$H$31&lt;&gt;"",ROW($H$2:$H$31),ROW()+ROWS($H$2:$H$31))),ROW()-ROW($I$2:$I$31)+1),COLUMN($H$2:$H$31),4)))</f>
        <v>-----</v>
      </c>
      <c r="U24" s="485" t="str">
        <f t="array" aca="1" ref="U24" ca="1">IF(ROW()-ROW($J$2:$J$31)+1&gt;ROWS($I$2:$I$31)-COUNTBLANK($I$2:$I$31),"",INDIRECT(ADDRESS(SMALL((IF($I$2:$I$31&lt;&gt;"",ROW($I$2:$I$31),ROW()+ROWS($I$2:$I$31))),ROW()-ROW($J$2:$J$31)+1),COLUMN($I$2:$I$31),4)))</f>
        <v>-----</v>
      </c>
      <c r="V24" s="485" t="str">
        <f t="array" aca="1" ref="V24" ca="1">IF(ROW()-ROW($K$2:$K$31)+1&gt;ROWS($J$2:$J$31)-COUNTBLANK($J$2:$J$31),"",INDIRECT(ADDRESS(SMALL((IF($J$2:$J$31&lt;&gt;"",ROW($J$2:$J$31),ROW()+ROWS($J$2:$J$31))),ROW()-ROW($K$2:$K$31)+1),COLUMN($J$2:$J$31),4)))</f>
        <v>n.d.</v>
      </c>
      <c r="W24" s="488" t="str">
        <f t="array" aca="1" ref="W24" ca="1">IF(ROW()-ROW($L$2:$L$31)+1&gt;ROWS($K$2:$K$31)-COUNTBLANK($K$2:$K$31),"",INDIRECT(ADDRESS(SMALL((IF($K$2:$K$31&lt;&gt;"",ROW($K$2:$K$31),ROW()+ROWS($K$2:$K$31))),ROW()-ROW($L$2:$L$31)+1),COLUMN($K$2:$K$31),4)))</f>
        <v>Unvollständig</v>
      </c>
      <c r="X24" s="488" t="str">
        <f t="array" aca="1" ref="X24" ca="1">IF(ROW()-ROW($M$2:$M$31)+1&gt;ROWS($L$2:$L$31)-COUNTBLANK($L$2:$L$31),"",INDIRECT(ADDRESS(SMALL((IF($L$2:$L$31&lt;&gt;"",ROW($L$2:$L$31),ROW()+ROWS($L$2:$L$31))),ROW()-ROW($M$2:$M$31)+1),COLUMN($L$2:$L$31),4)))</f>
        <v>-----</v>
      </c>
      <c r="Y24" s="488" t="str">
        <f t="array" aca="1" ref="Y24" ca="1">IF(ROW()-ROW($N$2:$N$31)+1&gt;ROWS($M$2:$M$31)-COUNTBLANK($M$2:$M$31),"",INDIRECT(ADDRESS(SMALL((IF($M$2:$M$31&lt;&gt;"",ROW($M$2:$M$31),ROW()+ROWS($M$2:$M$31))),ROW()-ROW($N$2:$N$31)+1),COLUMN($M$2:$M$31),4)))</f>
        <v>-----</v>
      </c>
    </row>
    <row r="25" spans="1:25" ht="33.75" customHeight="1" x14ac:dyDescent="0.25">
      <c r="A25" s="484" t="str">
        <f>IF('Kennzahlenbogen_(KB)'!R77=0,"",'Kennzahlenbogen_(KB)'!R77)</f>
        <v>Unvollständig</v>
      </c>
      <c r="C25" s="489">
        <f>IF($A25="I.O.","",'Kennzahlenbogen_(KB)'!B77)</f>
        <v>17</v>
      </c>
      <c r="D25" s="486" t="str">
        <f>IF($A25="I.O.","",'Kennzahlenbogen_(KB)'!E77)</f>
        <v>Postoperative Komplikationen nach Radikaler Prostatektomie</v>
      </c>
      <c r="E25" s="487" t="str">
        <f>IF(AND('Kennzahlenbogen_(KB)'!L77="",$A25&lt;&gt;"I.O."),"-----",IF($A25="I.O.","",'Kennzahlenbogen_(KB)'!L77))</f>
        <v>-----</v>
      </c>
      <c r="F25" s="487" t="str">
        <f>IF($A25="I.O.","",'Kennzahlenbogen_(KB)'!M77)</f>
        <v>≤ 15%</v>
      </c>
      <c r="G25" s="487" t="str">
        <f>IF(AND('Kennzahlenbogen_(KB)'!O77="",$A25&lt;&gt;"I.O."),"-----",IF($A25="I.O.","",'Kennzahlenbogen_(KB)'!O77))</f>
        <v>-----</v>
      </c>
      <c r="H25" s="485" t="str">
        <f>IF($A25="I.O.","",IF('Kennzahlenbogen_(KB)'!Q77="","-----",'Kennzahlenbogen_(KB)'!Q77))</f>
        <v>-----</v>
      </c>
      <c r="I25" s="485" t="str">
        <f>IF($A25="I.O.","",IF('Kennzahlenbogen_(KB)'!Q78="","-----",'Kennzahlenbogen_(KB)'!Q78))</f>
        <v>-----</v>
      </c>
      <c r="J25" s="485" t="str">
        <f>IF($A25="I.O.","",IF('Kennzahlenbogen_(KB)'!Q79="","-----",'Kennzahlenbogen_(KB)'!Q79))</f>
        <v>n.d.</v>
      </c>
      <c r="K25" s="485" t="str">
        <f>IF($A25="I.O.","",'Kennzahlenbogen_(KB)'!R77)</f>
        <v>Unvollständig</v>
      </c>
      <c r="L25" s="486" t="str">
        <f>IF(AND('Kennzahlenbogen_(KB)'!S77="",$A25&lt;&gt;"I.O."),"-----",IF($A25="I.O.","",'Kennzahlenbogen_(KB)'!S77))</f>
        <v>-----</v>
      </c>
      <c r="M25" s="486" t="str">
        <f>IF(AND('Kennzahlenbogen_(KB)'!T77="",$A25&lt;&gt;"I.O."),"-----",IF($A25="I.O.","",'Kennzahlenbogen_(KB)'!T77))</f>
        <v>-----</v>
      </c>
      <c r="O25" s="485">
        <f t="array" aca="1" ref="O25" ca="1">IF(ROW()-ROW($D$2:$D$31)+1&gt;ROWS($C$2:$C$31)-COUNTBLANK($C$2:$C$31),"",INDIRECT(ADDRESS(SMALL((IF($C$2:$C$31&lt;&gt;"",ROW($C$2:$C$31),ROW()+ROWS($C$2:$C$31))),ROW()-ROW($D$2:$D$31)+1),COLUMN($C$2:$C$31),4)))</f>
        <v>17</v>
      </c>
      <c r="P25" s="488" t="str">
        <f t="array" aca="1" ref="P25" ca="1">IF(ROW()-ROW($E$2:$E$31)+1&gt;ROWS($D$2:$D$31)-COUNTBLANK($D$2:$D$31),"",INDIRECT(ADDRESS(SMALL((IF($D$2:$D$31&gt;"",ROW($D$2:$D$31),ROW()+ROWS($D$2:$D$31))),ROW()-ROW($E$2:$E$31)+1),COLUMN($D$2:$D$31),4)))</f>
        <v>Postoperative Komplikationen nach Radikaler Prostatektomie</v>
      </c>
      <c r="Q25" s="485" t="str">
        <f t="array" aca="1" ref="Q25" ca="1">IF(ROW()-ROW($F$2:$F$31)+1&gt;ROWS($E$2:$E$31)-COUNTBLANK($E$2:$E$31),"",INDIRECT(ADDRESS(SMALL((IF($E$2:$E$31&gt;"",ROW($E$2:$E$31),ROW()+ROWS($E$2:$E$31))),ROW()-ROW($F$2:$F$31)+1),COLUMN($E$2:$E$31),4)))</f>
        <v>-----</v>
      </c>
      <c r="R25" s="485" t="str">
        <f t="array" aca="1" ref="R25" ca="1">IF(ROW()-ROW($G$2:$G$31)+1&gt;ROWS($F$2:$F$31)-COUNTBLANK($F$2:$F$31),"",INDIRECT(ADDRESS(SMALL((IF($F$2:$F$31&gt;"",ROW($F$2:$F$31),ROW()+ROWS($F$2:$F$31))),ROW()-ROW($G$2:$G$31)+1),COLUMN($F$2:$F$31),4)))</f>
        <v>≤ 15%</v>
      </c>
      <c r="S25" s="485" t="str">
        <f t="array" aca="1" ref="S25" ca="1">IF(ROW()-ROW($H$2:$H$31)+1&gt;ROWS($G$2:$G$31)-COUNTBLANK($G$2:$G$31),"",INDIRECT(ADDRESS(SMALL((IF($G$2:$G$31&lt;&gt;"",ROW($G$2:$G$31),ROW()+ROWS($G$2:$G$31))),ROW()-ROW($H$2:$H$31)+1),COLUMN($G$2:$G$31),4)))</f>
        <v>-----</v>
      </c>
      <c r="T25" s="485" t="str">
        <f t="array" aca="1" ref="T25" ca="1">IF(ROW()-ROW($I$2:$I$31)+1&gt;ROWS($H$2:$H$31)-COUNTBLANK($H$2:$H$31),"",INDIRECT(ADDRESS(SMALL((IF($H$2:$H$31&lt;&gt;"",ROW($H$2:$H$31),ROW()+ROWS($H$2:$H$31))),ROW()-ROW($I$2:$I$31)+1),COLUMN($H$2:$H$31),4)))</f>
        <v>-----</v>
      </c>
      <c r="U25" s="485" t="str">
        <f t="array" aca="1" ref="U25" ca="1">IF(ROW()-ROW($J$2:$J$31)+1&gt;ROWS($I$2:$I$31)-COUNTBLANK($I$2:$I$31),"",INDIRECT(ADDRESS(SMALL((IF($I$2:$I$31&lt;&gt;"",ROW($I$2:$I$31),ROW()+ROWS($I$2:$I$31))),ROW()-ROW($J$2:$J$31)+1),COLUMN($I$2:$I$31),4)))</f>
        <v>-----</v>
      </c>
      <c r="V25" s="485" t="str">
        <f t="array" aca="1" ref="V25" ca="1">IF(ROW()-ROW($K$2:$K$31)+1&gt;ROWS($J$2:$J$31)-COUNTBLANK($J$2:$J$31),"",INDIRECT(ADDRESS(SMALL((IF($J$2:$J$31&lt;&gt;"",ROW($J$2:$J$31),ROW()+ROWS($J$2:$J$31))),ROW()-ROW($K$2:$K$31)+1),COLUMN($J$2:$J$31),4)))</f>
        <v>n.d.</v>
      </c>
      <c r="W25" s="488" t="str">
        <f t="array" aca="1" ref="W25" ca="1">IF(ROW()-ROW($L$2:$L$31)+1&gt;ROWS($K$2:$K$31)-COUNTBLANK($K$2:$K$31),"",INDIRECT(ADDRESS(SMALL((IF($K$2:$K$31&lt;&gt;"",ROW($K$2:$K$31),ROW()+ROWS($K$2:$K$31))),ROW()-ROW($L$2:$L$31)+1),COLUMN($K$2:$K$31),4)))</f>
        <v>Unvollständig</v>
      </c>
      <c r="X25" s="488" t="str">
        <f t="array" aca="1" ref="X25" ca="1">IF(ROW()-ROW($M$2:$M$31)+1&gt;ROWS($L$2:$L$31)-COUNTBLANK($L$2:$L$31),"",INDIRECT(ADDRESS(SMALL((IF($L$2:$L$31&lt;&gt;"",ROW($L$2:$L$31),ROW()+ROWS($L$2:$L$31))),ROW()-ROW($M$2:$M$31)+1),COLUMN($L$2:$L$31),4)))</f>
        <v>-----</v>
      </c>
      <c r="Y25" s="488" t="str">
        <f t="array" aca="1" ref="Y25" ca="1">IF(ROW()-ROW($N$2:$N$31)+1&gt;ROWS($M$2:$M$31)-COUNTBLANK($M$2:$M$31),"",INDIRECT(ADDRESS(SMALL((IF($M$2:$M$31&lt;&gt;"",ROW($M$2:$M$31),ROW()+ROWS($M$2:$M$31))),ROW()-ROW($N$2:$N$31)+1),COLUMN($M$2:$M$31),4)))</f>
        <v>-----</v>
      </c>
    </row>
    <row r="26" spans="1:25" ht="33.75" customHeight="1" x14ac:dyDescent="0.25">
      <c r="A26" s="484" t="str">
        <f>IF('Kennzahlenbogen_(KB)'!R80=0,"",'Kennzahlenbogen_(KB)'!R80)</f>
        <v>Unvollständig</v>
      </c>
      <c r="C26" s="489">
        <f>IF($A26="I.O.","",'Kennzahlenbogen_(KB)'!B80)</f>
        <v>18</v>
      </c>
      <c r="D26" s="486" t="str">
        <f>IF($A26="I.O.","",'Kennzahlenbogen_(KB)'!E80)</f>
        <v>Unerwünschte Wirkungen nach Strahlentherapie</v>
      </c>
      <c r="E26" s="487" t="str">
        <f>IF(AND('Kennzahlenbogen_(KB)'!L80="",$A26&lt;&gt;"I.O."),"-----",IF($A26="I.O.","",'Kennzahlenbogen_(KB)'!L80))</f>
        <v>-----</v>
      </c>
      <c r="F26" s="487" t="str">
        <f>IF($A26="I.O.","",'Kennzahlenbogen_(KB)'!M80)</f>
        <v>≤ 3,5%</v>
      </c>
      <c r="G26" s="487" t="str">
        <f>IF(AND('Kennzahlenbogen_(KB)'!O80="",$A26&lt;&gt;"I.O."),"-----",IF($A26="I.O.","",'Kennzahlenbogen_(KB)'!O80))</f>
        <v>-----</v>
      </c>
      <c r="H26" s="485" t="str">
        <f>IF($A26="I.O.","",IF('Kennzahlenbogen_(KB)'!Q80="","-----",'Kennzahlenbogen_(KB)'!Q80))</f>
        <v>-----</v>
      </c>
      <c r="I26" s="485" t="str">
        <f>IF($A26="I.O.","",IF('Kennzahlenbogen_(KB)'!Q81="","-----",'Kennzahlenbogen_(KB)'!Q81))</f>
        <v>-----</v>
      </c>
      <c r="J26" s="485" t="str">
        <f>IF($A26="I.O.","",IF('Kennzahlenbogen_(KB)'!Q82="","-----",'Kennzahlenbogen_(KB)'!Q82))</f>
        <v>n.d.</v>
      </c>
      <c r="K26" s="485" t="str">
        <f>IF($A26="I.O.","",'Kennzahlenbogen_(KB)'!R80)</f>
        <v>Unvollständig</v>
      </c>
      <c r="L26" s="486" t="str">
        <f>IF(AND('Kennzahlenbogen_(KB)'!S80="",$A26&lt;&gt;"I.O."),"-----",IF($A26="I.O.","",'Kennzahlenbogen_(KB)'!S80))</f>
        <v>-----</v>
      </c>
      <c r="M26" s="486" t="str">
        <f>IF(AND('Kennzahlenbogen_(KB)'!T80="",$A26&lt;&gt;"I.O."),"-----",IF($A26="I.O.","",'Kennzahlenbogen_(KB)'!T80))</f>
        <v>-----</v>
      </c>
      <c r="O26" s="485">
        <f t="array" aca="1" ref="O26" ca="1">IF(ROW()-ROW($D$2:$D$31)+1&gt;ROWS($C$2:$C$31)-COUNTBLANK($C$2:$C$31),"",INDIRECT(ADDRESS(SMALL((IF($C$2:$C$31&lt;&gt;"",ROW($C$2:$C$31),ROW()+ROWS($C$2:$C$31))),ROW()-ROW($D$2:$D$31)+1),COLUMN($C$2:$C$31),4)))</f>
        <v>18</v>
      </c>
      <c r="P26" s="488" t="str">
        <f t="array" aca="1" ref="P26" ca="1">IF(ROW()-ROW($E$2:$E$31)+1&gt;ROWS($D$2:$D$31)-COUNTBLANK($D$2:$D$31),"",INDIRECT(ADDRESS(SMALL((IF($D$2:$D$31&gt;"",ROW($D$2:$D$31),ROW()+ROWS($D$2:$D$31))),ROW()-ROW($E$2:$E$31)+1),COLUMN($D$2:$D$31),4)))</f>
        <v>Unerwünschte Wirkungen nach Strahlentherapie</v>
      </c>
      <c r="Q26" s="485" t="str">
        <f t="array" aca="1" ref="Q26" ca="1">IF(ROW()-ROW($F$2:$F$31)+1&gt;ROWS($E$2:$E$31)-COUNTBLANK($E$2:$E$31),"",INDIRECT(ADDRESS(SMALL((IF($E$2:$E$31&gt;"",ROW($E$2:$E$31),ROW()+ROWS($E$2:$E$31))),ROW()-ROW($F$2:$F$31)+1),COLUMN($E$2:$E$31),4)))</f>
        <v>-----</v>
      </c>
      <c r="R26" s="485" t="str">
        <f t="array" aca="1" ref="R26" ca="1">IF(ROW()-ROW($G$2:$G$31)+1&gt;ROWS($F$2:$F$31)-COUNTBLANK($F$2:$F$31),"",INDIRECT(ADDRESS(SMALL((IF($F$2:$F$31&gt;"",ROW($F$2:$F$31),ROW()+ROWS($F$2:$F$31))),ROW()-ROW($G$2:$G$31)+1),COLUMN($F$2:$F$31),4)))</f>
        <v>≤ 3,5%</v>
      </c>
      <c r="S26" s="485" t="str">
        <f t="array" aca="1" ref="S26" ca="1">IF(ROW()-ROW($H$2:$H$31)+1&gt;ROWS($G$2:$G$31)-COUNTBLANK($G$2:$G$31),"",INDIRECT(ADDRESS(SMALL((IF($G$2:$G$31&lt;&gt;"",ROW($G$2:$G$31),ROW()+ROWS($G$2:$G$31))),ROW()-ROW($H$2:$H$31)+1),COLUMN($G$2:$G$31),4)))</f>
        <v>-----</v>
      </c>
      <c r="T26" s="485" t="str">
        <f t="array" aca="1" ref="T26" ca="1">IF(ROW()-ROW($I$2:$I$31)+1&gt;ROWS($H$2:$H$31)-COUNTBLANK($H$2:$H$31),"",INDIRECT(ADDRESS(SMALL((IF($H$2:$H$31&lt;&gt;"",ROW($H$2:$H$31),ROW()+ROWS($H$2:$H$31))),ROW()-ROW($I$2:$I$31)+1),COLUMN($H$2:$H$31),4)))</f>
        <v>-----</v>
      </c>
      <c r="U26" s="485" t="str">
        <f t="array" aca="1" ref="U26" ca="1">IF(ROW()-ROW($J$2:$J$31)+1&gt;ROWS($I$2:$I$31)-COUNTBLANK($I$2:$I$31),"",INDIRECT(ADDRESS(SMALL((IF($I$2:$I$31&lt;&gt;"",ROW($I$2:$I$31),ROW()+ROWS($I$2:$I$31))),ROW()-ROW($J$2:$J$31)+1),COLUMN($I$2:$I$31),4)))</f>
        <v>-----</v>
      </c>
      <c r="V26" s="485" t="str">
        <f t="array" aca="1" ref="V26" ca="1">IF(ROW()-ROW($K$2:$K$31)+1&gt;ROWS($J$2:$J$31)-COUNTBLANK($J$2:$J$31),"",INDIRECT(ADDRESS(SMALL((IF($J$2:$J$31&lt;&gt;"",ROW($J$2:$J$31),ROW()+ROWS($J$2:$J$31))),ROW()-ROW($K$2:$K$31)+1),COLUMN($J$2:$J$31),4)))</f>
        <v>n.d.</v>
      </c>
      <c r="W26" s="488" t="str">
        <f t="array" aca="1" ref="W26" ca="1">IF(ROW()-ROW($L$2:$L$31)+1&gt;ROWS($K$2:$K$31)-COUNTBLANK($K$2:$K$31),"",INDIRECT(ADDRESS(SMALL((IF($K$2:$K$31&lt;&gt;"",ROW($K$2:$K$31),ROW()+ROWS($K$2:$K$31))),ROW()-ROW($L$2:$L$31)+1),COLUMN($K$2:$K$31),4)))</f>
        <v>Unvollständig</v>
      </c>
      <c r="X26" s="488" t="str">
        <f t="array" aca="1" ref="X26" ca="1">IF(ROW()-ROW($M$2:$M$31)+1&gt;ROWS($L$2:$L$31)-COUNTBLANK($L$2:$L$31),"",INDIRECT(ADDRESS(SMALL((IF($L$2:$L$31&lt;&gt;"",ROW($L$2:$L$31),ROW()+ROWS($L$2:$L$31))),ROW()-ROW($M$2:$M$31)+1),COLUMN($L$2:$L$31),4)))</f>
        <v>-----</v>
      </c>
      <c r="Y26" s="488" t="str">
        <f t="array" aca="1" ref="Y26" ca="1">IF(ROW()-ROW($N$2:$N$31)+1&gt;ROWS($M$2:$M$31)-COUNTBLANK($M$2:$M$31),"",INDIRECT(ADDRESS(SMALL((IF($M$2:$M$31&lt;&gt;"",ROW($M$2:$M$31),ROW()+ROWS($M$2:$M$31))),ROW()-ROW($N$2:$N$31)+1),COLUMN($M$2:$M$31),4)))</f>
        <v>-----</v>
      </c>
    </row>
    <row r="27" spans="1:25" ht="33.75" customHeight="1" x14ac:dyDescent="0.25">
      <c r="A27" s="484" t="str">
        <f>IF('Kennzahlenbogen_(KB)'!R83=0,"",'Kennzahlenbogen_(KB)'!R83)</f>
        <v>Unvollständig</v>
      </c>
      <c r="C27" s="489">
        <f>IF($A27="I.O.","",'Kennzahlenbogen_(KB)'!B83)</f>
        <v>19</v>
      </c>
      <c r="D27" s="486" t="str">
        <f>IF($A27="I.O.","",'Kennzahlenbogen_(KB)'!E83)</f>
        <v>Zahnärztliche Untersuchung 
vor Beginn der Bisphosphonat oder Denosumab-Therapie</v>
      </c>
      <c r="E27" s="487" t="str">
        <f>IF(AND('Kennzahlenbogen_(KB)'!L83="",$A27&lt;&gt;"I.O."),"-----",IF($A27="I.O.","",'Kennzahlenbogen_(KB)'!L83))</f>
        <v>-----</v>
      </c>
      <c r="F27" s="487" t="str">
        <f>IF($A27="I.O.","",'Kennzahlenbogen_(KB)'!M83)</f>
        <v>≥ 90%</v>
      </c>
      <c r="G27" s="487" t="str">
        <f>IF(AND('Kennzahlenbogen_(KB)'!O83="",$A27&lt;&gt;"I.O."),"-----",IF($A27="I.O.","",'Kennzahlenbogen_(KB)'!O83))</f>
        <v>-----</v>
      </c>
      <c r="H27" s="485" t="str">
        <f>IF($A27="I.O.","",IF('Kennzahlenbogen_(KB)'!Q83="","-----",'Kennzahlenbogen_(KB)'!Q83))</f>
        <v>-----</v>
      </c>
      <c r="I27" s="485" t="str">
        <f>IF($A27="I.O.","",IF('Kennzahlenbogen_(KB)'!Q84="","-----",'Kennzahlenbogen_(KB)'!Q84))</f>
        <v>-----</v>
      </c>
      <c r="J27" s="485" t="str">
        <f>IF($A27="I.O.","",IF('Kennzahlenbogen_(KB)'!Q85="","-----",'Kennzahlenbogen_(KB)'!Q85))</f>
        <v>n.d.</v>
      </c>
      <c r="K27" s="485" t="str">
        <f>IF($A27="I.O.","",'Kennzahlenbogen_(KB)'!R83)</f>
        <v>Unvollständig</v>
      </c>
      <c r="L27" s="486" t="str">
        <f>IF(AND('Kennzahlenbogen_(KB)'!S83="",$A27&lt;&gt;"I.O."),"-----",IF($A27="I.O.","",'Kennzahlenbogen_(KB)'!S83))</f>
        <v>-----</v>
      </c>
      <c r="M27" s="486" t="str">
        <f>IF(AND('Kennzahlenbogen_(KB)'!T83="",$A27&lt;&gt;"I.O."),"-----",IF($A27="I.O.","",'Kennzahlenbogen_(KB)'!T83))</f>
        <v>-----</v>
      </c>
      <c r="O27" s="485">
        <f t="array" aca="1" ref="O27" ca="1">IF(ROW()-ROW($D$2:$D$31)+1&gt;ROWS($C$2:$C$31)-COUNTBLANK($C$2:$C$31),"",INDIRECT(ADDRESS(SMALL((IF($C$2:$C$31&lt;&gt;"",ROW($C$2:$C$31),ROW()+ROWS($C$2:$C$31))),ROW()-ROW($D$2:$D$31)+1),COLUMN($C$2:$C$31),4)))</f>
        <v>19</v>
      </c>
      <c r="P27" s="488" t="str">
        <f t="array" aca="1" ref="P27" ca="1">IF(ROW()-ROW($E$2:$E$31)+1&gt;ROWS($D$2:$D$31)-COUNTBLANK($D$2:$D$31),"",INDIRECT(ADDRESS(SMALL((IF($D$2:$D$31&gt;"",ROW($D$2:$D$31),ROW()+ROWS($D$2:$D$31))),ROW()-ROW($E$2:$E$31)+1),COLUMN($D$2:$D$31),4)))</f>
        <v>Zahnärztliche Untersuchung 
vor Beginn der Bisphosphonat oder Denosumab-Therapie</v>
      </c>
      <c r="Q27" s="485" t="str">
        <f t="array" aca="1" ref="Q27" ca="1">IF(ROW()-ROW($F$2:$F$31)+1&gt;ROWS($E$2:$E$31)-COUNTBLANK($E$2:$E$31),"",INDIRECT(ADDRESS(SMALL((IF($E$2:$E$31&gt;"",ROW($E$2:$E$31),ROW()+ROWS($E$2:$E$31))),ROW()-ROW($F$2:$F$31)+1),COLUMN($E$2:$E$31),4)))</f>
        <v>-----</v>
      </c>
      <c r="R27" s="485" t="str">
        <f t="array" aca="1" ref="R27" ca="1">IF(ROW()-ROW($G$2:$G$31)+1&gt;ROWS($F$2:$F$31)-COUNTBLANK($F$2:$F$31),"",INDIRECT(ADDRESS(SMALL((IF($F$2:$F$31&gt;"",ROW($F$2:$F$31),ROW()+ROWS($F$2:$F$31))),ROW()-ROW($G$2:$G$31)+1),COLUMN($F$2:$F$31),4)))</f>
        <v>≥ 90%</v>
      </c>
      <c r="S27" s="485" t="str">
        <f t="array" aca="1" ref="S27" ca="1">IF(ROW()-ROW($H$2:$H$31)+1&gt;ROWS($G$2:$G$31)-COUNTBLANK($G$2:$G$31),"",INDIRECT(ADDRESS(SMALL((IF($G$2:$G$31&lt;&gt;"",ROW($G$2:$G$31),ROW()+ROWS($G$2:$G$31))),ROW()-ROW($H$2:$H$31)+1),COLUMN($G$2:$G$31),4)))</f>
        <v>-----</v>
      </c>
      <c r="T27" s="485" t="str">
        <f t="array" aca="1" ref="T27" ca="1">IF(ROW()-ROW($I$2:$I$31)+1&gt;ROWS($H$2:$H$31)-COUNTBLANK($H$2:$H$31),"",INDIRECT(ADDRESS(SMALL((IF($H$2:$H$31&lt;&gt;"",ROW($H$2:$H$31),ROW()+ROWS($H$2:$H$31))),ROW()-ROW($I$2:$I$31)+1),COLUMN($H$2:$H$31),4)))</f>
        <v>-----</v>
      </c>
      <c r="U27" s="485" t="str">
        <f t="array" aca="1" ref="U27" ca="1">IF(ROW()-ROW($J$2:$J$31)+1&gt;ROWS($I$2:$I$31)-COUNTBLANK($I$2:$I$31),"",INDIRECT(ADDRESS(SMALL((IF($I$2:$I$31&lt;&gt;"",ROW($I$2:$I$31),ROW()+ROWS($I$2:$I$31))),ROW()-ROW($J$2:$J$31)+1),COLUMN($I$2:$I$31),4)))</f>
        <v>-----</v>
      </c>
      <c r="V27" s="485" t="str">
        <f t="array" aca="1" ref="V27" ca="1">IF(ROW()-ROW($K$2:$K$31)+1&gt;ROWS($J$2:$J$31)-COUNTBLANK($J$2:$J$31),"",INDIRECT(ADDRESS(SMALL((IF($J$2:$J$31&lt;&gt;"",ROW($J$2:$J$31),ROW()+ROWS($J$2:$J$31))),ROW()-ROW($K$2:$K$31)+1),COLUMN($J$2:$J$31),4)))</f>
        <v>n.d.</v>
      </c>
      <c r="W27" s="488" t="str">
        <f t="array" aca="1" ref="W27" ca="1">IF(ROW()-ROW($L$2:$L$31)+1&gt;ROWS($K$2:$K$31)-COUNTBLANK($K$2:$K$31),"",INDIRECT(ADDRESS(SMALL((IF($K$2:$K$31&lt;&gt;"",ROW($K$2:$K$31),ROW()+ROWS($K$2:$K$31))),ROW()-ROW($L$2:$L$31)+1),COLUMN($K$2:$K$31),4)))</f>
        <v>Unvollständig</v>
      </c>
      <c r="X27" s="488" t="str">
        <f t="array" aca="1" ref="X27" ca="1">IF(ROW()-ROW($M$2:$M$31)+1&gt;ROWS($L$2:$L$31)-COUNTBLANK($L$2:$L$31),"",INDIRECT(ADDRESS(SMALL((IF($L$2:$L$31&lt;&gt;"",ROW($L$2:$L$31),ROW()+ROWS($L$2:$L$31))),ROW()-ROW($M$2:$M$31)+1),COLUMN($L$2:$L$31),4)))</f>
        <v>-----</v>
      </c>
      <c r="Y27" s="488" t="str">
        <f t="array" aca="1" ref="Y27" ca="1">IF(ROW()-ROW($N$2:$N$31)+1&gt;ROWS($M$2:$M$31)-COUNTBLANK($M$2:$M$31),"",INDIRECT(ADDRESS(SMALL((IF($M$2:$M$31&lt;&gt;"",ROW($M$2:$M$31),ROW()+ROWS($M$2:$M$31))),ROW()-ROW($N$2:$N$31)+1),COLUMN($M$2:$M$31),4)))</f>
        <v>-----</v>
      </c>
    </row>
    <row r="28" spans="1:25" ht="33.75" x14ac:dyDescent="0.25">
      <c r="A28" s="484" t="str">
        <f>IF('Kennzahlenbogen_(KB)'!R86=0,"",'Kennzahlenbogen_(KB)'!R86)</f>
        <v>Unvollständig</v>
      </c>
      <c r="C28" s="489">
        <f>IF($A28="I.O.","",'Kennzahlenbogen_(KB)'!B86)</f>
        <v>20</v>
      </c>
      <c r="D28" s="486" t="str">
        <f>IF($A28="I.O.","",'Kennzahlenbogen_(KB)'!E86)</f>
        <v>Keine hormonablative Therapie bei lokal fortgeschrittenem Prostatakarzinom mit radikaler Prostatektomie</v>
      </c>
      <c r="E28" s="487" t="str">
        <f>IF(AND('Kennzahlenbogen_(KB)'!L86="",$A28&lt;&gt;"I.O."),"-----",IF($A28="I.O.","",'Kennzahlenbogen_(KB)'!L86))</f>
        <v>-----</v>
      </c>
      <c r="F28" s="487" t="str">
        <f>IF($A28="I.O.","",'Kennzahlenbogen_(KB)'!M86)</f>
        <v>&lt; 0,1%</v>
      </c>
      <c r="G28" s="487" t="str">
        <f>IF(AND('Kennzahlenbogen_(KB)'!O86="",$A28&lt;&gt;"I.O."),"-----",IF($A28="I.O.","",'Kennzahlenbogen_(KB)'!O86))</f>
        <v>-----</v>
      </c>
      <c r="H28" s="485" t="str">
        <f>IF($A28="I.O.","",IF('Kennzahlenbogen_(KB)'!Q86="","-----",'Kennzahlenbogen_(KB)'!Q86))</f>
        <v>-----</v>
      </c>
      <c r="I28" s="485" t="str">
        <f>IF($A28="I.O.","",IF('Kennzahlenbogen_(KB)'!Q87="","-----",'Kennzahlenbogen_(KB)'!Q87))</f>
        <v>-----</v>
      </c>
      <c r="J28" s="485" t="str">
        <f>IF($A28="I.O.","",IF('Kennzahlenbogen_(KB)'!Q88="","-----",'Kennzahlenbogen_(KB)'!Q88))</f>
        <v>n.d.</v>
      </c>
      <c r="K28" s="485" t="str">
        <f>IF($A28="I.O.","",'Kennzahlenbogen_(KB)'!R86)</f>
        <v>Unvollständig</v>
      </c>
      <c r="L28" s="486" t="str">
        <f>IF(AND('Kennzahlenbogen_(KB)'!S86="",$A28&lt;&gt;"I.O."),"-----",IF($A28="I.O.","",'Kennzahlenbogen_(KB)'!S86))</f>
        <v>-----</v>
      </c>
      <c r="M28" s="486" t="str">
        <f>IF(AND('Kennzahlenbogen_(KB)'!T86="",$A28&lt;&gt;"I.O."),"-----",IF($A28="I.O.","",'Kennzahlenbogen_(KB)'!T86))</f>
        <v>-----</v>
      </c>
      <c r="O28" s="485">
        <f t="array" aca="1" ref="O28" ca="1">IF(ROW()-ROW($D$2:$D$31)+1&gt;ROWS($C$2:$C$31)-COUNTBLANK($C$2:$C$31),"",INDIRECT(ADDRESS(SMALL((IF($C$2:$C$31&lt;&gt;"",ROW($C$2:$C$31),ROW()+ROWS($C$2:$C$31))),ROW()-ROW($D$2:$D$31)+1),COLUMN($C$2:$C$31),4)))</f>
        <v>20</v>
      </c>
      <c r="P28" s="488" t="str">
        <f t="array" aca="1" ref="P28" ca="1">IF(ROW()-ROW($E$2:$E$31)+1&gt;ROWS($D$2:$D$31)-COUNTBLANK($D$2:$D$31),"",INDIRECT(ADDRESS(SMALL((IF($D$2:$D$31&gt;"",ROW($D$2:$D$31),ROW()+ROWS($D$2:$D$31))),ROW()-ROW($E$2:$E$31)+1),COLUMN($D$2:$D$31),4)))</f>
        <v>Keine hormonablative Therapie bei lokal fortgeschrittenem Prostatakarzinom mit radikaler Prostatektomie</v>
      </c>
      <c r="Q28" s="485" t="str">
        <f t="array" aca="1" ref="Q28" ca="1">IF(ROW()-ROW($F$2:$F$31)+1&gt;ROWS($E$2:$E$31)-COUNTBLANK($E$2:$E$31),"",INDIRECT(ADDRESS(SMALL((IF($E$2:$E$31&gt;"",ROW($E$2:$E$31),ROW()+ROWS($E$2:$E$31))),ROW()-ROW($F$2:$F$31)+1),COLUMN($E$2:$E$31),4)))</f>
        <v>-----</v>
      </c>
      <c r="R28" s="485" t="str">
        <f t="array" aca="1" ref="R28" ca="1">IF(ROW()-ROW($G$2:$G$31)+1&gt;ROWS($F$2:$F$31)-COUNTBLANK($F$2:$F$31),"",INDIRECT(ADDRESS(SMALL((IF($F$2:$F$31&gt;"",ROW($F$2:$F$31),ROW()+ROWS($F$2:$F$31))),ROW()-ROW($G$2:$G$31)+1),COLUMN($F$2:$F$31),4)))</f>
        <v>&lt; 0,1%</v>
      </c>
      <c r="S28" s="485" t="str">
        <f t="array" aca="1" ref="S28" ca="1">IF(ROW()-ROW($H$2:$H$31)+1&gt;ROWS($G$2:$G$31)-COUNTBLANK($G$2:$G$31),"",INDIRECT(ADDRESS(SMALL((IF($G$2:$G$31&lt;&gt;"",ROW($G$2:$G$31),ROW()+ROWS($G$2:$G$31))),ROW()-ROW($H$2:$H$31)+1),COLUMN($G$2:$G$31),4)))</f>
        <v>-----</v>
      </c>
      <c r="T28" s="485" t="str">
        <f t="array" aca="1" ref="T28" ca="1">IF(ROW()-ROW($I$2:$I$31)+1&gt;ROWS($H$2:$H$31)-COUNTBLANK($H$2:$H$31),"",INDIRECT(ADDRESS(SMALL((IF($H$2:$H$31&lt;&gt;"",ROW($H$2:$H$31),ROW()+ROWS($H$2:$H$31))),ROW()-ROW($I$2:$I$31)+1),COLUMN($H$2:$H$31),4)))</f>
        <v>-----</v>
      </c>
      <c r="U28" s="485" t="str">
        <f t="array" aca="1" ref="U28" ca="1">IF(ROW()-ROW($J$2:$J$31)+1&gt;ROWS($I$2:$I$31)-COUNTBLANK($I$2:$I$31),"",INDIRECT(ADDRESS(SMALL((IF($I$2:$I$31&lt;&gt;"",ROW($I$2:$I$31),ROW()+ROWS($I$2:$I$31))),ROW()-ROW($J$2:$J$31)+1),COLUMN($I$2:$I$31),4)))</f>
        <v>-----</v>
      </c>
      <c r="V28" s="485" t="str">
        <f t="array" aca="1" ref="V28" ca="1">IF(ROW()-ROW($K$2:$K$31)+1&gt;ROWS($J$2:$J$31)-COUNTBLANK($J$2:$J$31),"",INDIRECT(ADDRESS(SMALL((IF($J$2:$J$31&lt;&gt;"",ROW($J$2:$J$31),ROW()+ROWS($J$2:$J$31))),ROW()-ROW($K$2:$K$31)+1),COLUMN($J$2:$J$31),4)))</f>
        <v>n.d.</v>
      </c>
      <c r="W28" s="488" t="str">
        <f t="array" aca="1" ref="W28" ca="1">IF(ROW()-ROW($L$2:$L$31)+1&gt;ROWS($K$2:$K$31)-COUNTBLANK($K$2:$K$31),"",INDIRECT(ADDRESS(SMALL((IF($K$2:$K$31&lt;&gt;"",ROW($K$2:$K$31),ROW()+ROWS($K$2:$K$31))),ROW()-ROW($L$2:$L$31)+1),COLUMN($K$2:$K$31),4)))</f>
        <v>Unvollständig</v>
      </c>
      <c r="X28" s="488" t="str">
        <f t="array" aca="1" ref="X28" ca="1">IF(ROW()-ROW($M$2:$M$31)+1&gt;ROWS($L$2:$L$31)-COUNTBLANK($L$2:$L$31),"",INDIRECT(ADDRESS(SMALL((IF($L$2:$L$31&lt;&gt;"",ROW($L$2:$L$31),ROW()+ROWS($L$2:$L$31))),ROW()-ROW($M$2:$M$31)+1),COLUMN($L$2:$L$31),4)))</f>
        <v>-----</v>
      </c>
      <c r="Y28" s="488" t="str">
        <f t="array" aca="1" ref="Y28" ca="1">IF(ROW()-ROW($N$2:$N$31)+1&gt;ROWS($M$2:$M$31)-COUNTBLANK($M$2:$M$31),"",INDIRECT(ADDRESS(SMALL((IF($M$2:$M$31&lt;&gt;"",ROW($M$2:$M$31),ROW()+ROWS($M$2:$M$31))),ROW()-ROW($N$2:$N$31)+1),COLUMN($M$2:$M$31),4)))</f>
        <v>-----</v>
      </c>
    </row>
    <row r="29" spans="1:25" ht="22.5" x14ac:dyDescent="0.25">
      <c r="A29" s="484" t="str">
        <f>IF('Kennzahlenbogen_(KB)'!R89=0,"",'Kennzahlenbogen_(KB)'!R89)</f>
        <v>Unvollständig</v>
      </c>
      <c r="C29" s="489">
        <f>IF($A29="I.O.","",'Kennzahlenbogen_(KB)'!B89)</f>
        <v>21</v>
      </c>
      <c r="D29" s="486" t="str">
        <f>IF($A29="I.O.","",'Kennzahlenbogen_(KB)'!E89)</f>
        <v>Fokale Therapie bei lokal fortgeschrittenem Prostatakarzinom</v>
      </c>
      <c r="E29" s="487" t="str">
        <f>IF(AND('Kennzahlenbogen_(KB)'!L89="",$A29&lt;&gt;"I.O."),"-----",IF($A29="I.O.","",'Kennzahlenbogen_(KB)'!L89))</f>
        <v>-----</v>
      </c>
      <c r="F29" s="487" t="str">
        <f>IF($A29="I.O.","",'Kennzahlenbogen_(KB)'!M89)</f>
        <v>&lt; 0,1%</v>
      </c>
      <c r="G29" s="487" t="str">
        <f>IF(AND('Kennzahlenbogen_(KB)'!O89="",$A29&lt;&gt;"I.O."),"-----",IF($A29="I.O.","",'Kennzahlenbogen_(KB)'!O89))</f>
        <v>-----</v>
      </c>
      <c r="H29" s="485" t="str">
        <f>IF($A29="I.O.","",IF('Kennzahlenbogen_(KB)'!Q89="","-----",'Kennzahlenbogen_(KB)'!Q89))</f>
        <v>-----</v>
      </c>
      <c r="I29" s="485" t="str">
        <f>IF($A29="I.O.","",IF('Kennzahlenbogen_(KB)'!Q90="","-----",'Kennzahlenbogen_(KB)'!Q90))</f>
        <v>-----</v>
      </c>
      <c r="J29" s="485" t="str">
        <f>IF($A29="I.O.","",IF('Kennzahlenbogen_(KB)'!Q91="","-----",'Kennzahlenbogen_(KB)'!Q91))</f>
        <v>n.d.</v>
      </c>
      <c r="K29" s="485" t="str">
        <f>IF($A29="I.O.","",'Kennzahlenbogen_(KB)'!R89)</f>
        <v>Unvollständig</v>
      </c>
      <c r="L29" s="486" t="str">
        <f>IF(AND('Kennzahlenbogen_(KB)'!S89="",$A29&lt;&gt;"I.O."),"-----",IF($A29="I.O.","",'Kennzahlenbogen_(KB)'!S89))</f>
        <v>-----</v>
      </c>
      <c r="M29" s="486" t="str">
        <f>IF(AND('Kennzahlenbogen_(KB)'!T89="",$A29&lt;&gt;"I.O."),"-----",IF($A29="I.O.","",'Kennzahlenbogen_(KB)'!T89))</f>
        <v>-----</v>
      </c>
      <c r="O29" s="485">
        <f t="array" aca="1" ref="O29" ca="1">IF(ROW()-ROW($D$2:$D$31)+1&gt;ROWS($C$2:$C$31)-COUNTBLANK($C$2:$C$31),"",INDIRECT(ADDRESS(SMALL((IF($C$2:$C$31&lt;&gt;"",ROW($C$2:$C$31),ROW()+ROWS($C$2:$C$31))),ROW()-ROW($D$2:$D$31)+1),COLUMN($C$2:$C$31),4)))</f>
        <v>21</v>
      </c>
      <c r="P29" s="488" t="str">
        <f t="array" aca="1" ref="P29" ca="1">IF(ROW()-ROW($E$2:$E$31)+1&gt;ROWS($D$2:$D$31)-COUNTBLANK($D$2:$D$31),"",INDIRECT(ADDRESS(SMALL((IF($D$2:$D$31&gt;"",ROW($D$2:$D$31),ROW()+ROWS($D$2:$D$31))),ROW()-ROW($E$2:$E$31)+1),COLUMN($D$2:$D$31),4)))</f>
        <v>Fokale Therapie bei lokal fortgeschrittenem Prostatakarzinom</v>
      </c>
      <c r="Q29" s="485" t="str">
        <f t="array" aca="1" ref="Q29" ca="1">IF(ROW()-ROW($F$2:$F$31)+1&gt;ROWS($E$2:$E$31)-COUNTBLANK($E$2:$E$31),"",INDIRECT(ADDRESS(SMALL((IF($E$2:$E$31&gt;"",ROW($E$2:$E$31),ROW()+ROWS($E$2:$E$31))),ROW()-ROW($F$2:$F$31)+1),COLUMN($E$2:$E$31),4)))</f>
        <v>-----</v>
      </c>
      <c r="R29" s="485" t="str">
        <f t="array" aca="1" ref="R29" ca="1">IF(ROW()-ROW($G$2:$G$31)+1&gt;ROWS($F$2:$F$31)-COUNTBLANK($F$2:$F$31),"",INDIRECT(ADDRESS(SMALL((IF($F$2:$F$31&gt;"",ROW($F$2:$F$31),ROW()+ROWS($F$2:$F$31))),ROW()-ROW($G$2:$G$31)+1),COLUMN($F$2:$F$31),4)))</f>
        <v>&lt; 0,1%</v>
      </c>
      <c r="S29" s="485" t="str">
        <f t="array" aca="1" ref="S29" ca="1">IF(ROW()-ROW($H$2:$H$31)+1&gt;ROWS($G$2:$G$31)-COUNTBLANK($G$2:$G$31),"",INDIRECT(ADDRESS(SMALL((IF($G$2:$G$31&lt;&gt;"",ROW($G$2:$G$31),ROW()+ROWS($G$2:$G$31))),ROW()-ROW($H$2:$H$31)+1),COLUMN($G$2:$G$31),4)))</f>
        <v>-----</v>
      </c>
      <c r="T29" s="485" t="str">
        <f t="array" aca="1" ref="T29" ca="1">IF(ROW()-ROW($I$2:$I$31)+1&gt;ROWS($H$2:$H$31)-COUNTBLANK($H$2:$H$31),"",INDIRECT(ADDRESS(SMALL((IF($H$2:$H$31&lt;&gt;"",ROW($H$2:$H$31),ROW()+ROWS($H$2:$H$31))),ROW()-ROW($I$2:$I$31)+1),COLUMN($H$2:$H$31),4)))</f>
        <v>-----</v>
      </c>
      <c r="U29" s="485" t="str">
        <f t="array" aca="1" ref="U29" ca="1">IF(ROW()-ROW($J$2:$J$31)+1&gt;ROWS($I$2:$I$31)-COUNTBLANK($I$2:$I$31),"",INDIRECT(ADDRESS(SMALL((IF($I$2:$I$31&lt;&gt;"",ROW($I$2:$I$31),ROW()+ROWS($I$2:$I$31))),ROW()-ROW($J$2:$J$31)+1),COLUMN($I$2:$I$31),4)))</f>
        <v>-----</v>
      </c>
      <c r="V29" s="485" t="str">
        <f t="array" aca="1" ref="V29" ca="1">IF(ROW()-ROW($K$2:$K$31)+1&gt;ROWS($J$2:$J$31)-COUNTBLANK($J$2:$J$31),"",INDIRECT(ADDRESS(SMALL((IF($J$2:$J$31&lt;&gt;"",ROW($J$2:$J$31),ROW()+ROWS($J$2:$J$31))),ROW()-ROW($K$2:$K$31)+1),COLUMN($J$2:$J$31),4)))</f>
        <v>n.d.</v>
      </c>
      <c r="W29" s="488" t="str">
        <f t="array" aca="1" ref="W29" ca="1">IF(ROW()-ROW($L$2:$L$31)+1&gt;ROWS($K$2:$K$31)-COUNTBLANK($K$2:$K$31),"",INDIRECT(ADDRESS(SMALL((IF($K$2:$K$31&lt;&gt;"",ROW($K$2:$K$31),ROW()+ROWS($K$2:$K$31))),ROW()-ROW($L$2:$L$31)+1),COLUMN($K$2:$K$31),4)))</f>
        <v>Unvollständig</v>
      </c>
      <c r="X29" s="488" t="str">
        <f t="array" aca="1" ref="X29" ca="1">IF(ROW()-ROW($M$2:$M$31)+1&gt;ROWS($L$2:$L$31)-COUNTBLANK($L$2:$L$31),"",INDIRECT(ADDRESS(SMALL((IF($L$2:$L$31&lt;&gt;"",ROW($L$2:$L$31),ROW()+ROWS($L$2:$L$31))),ROW()-ROW($M$2:$M$31)+1),COLUMN($L$2:$L$31),4)))</f>
        <v>-----</v>
      </c>
      <c r="Y29" s="488" t="str">
        <f t="array" aca="1" ref="Y29" ca="1">IF(ROW()-ROW($N$2:$N$31)+1&gt;ROWS($M$2:$M$31)-COUNTBLANK($M$2:$M$31),"",INDIRECT(ADDRESS(SMALL((IF($M$2:$M$31&lt;&gt;"",ROW($M$2:$M$31),ROW()+ROWS($M$2:$M$31))),ROW()-ROW($N$2:$N$31)+1),COLUMN($M$2:$M$31),4)))</f>
        <v>-----</v>
      </c>
    </row>
    <row r="30" spans="1:25" ht="33.75" x14ac:dyDescent="0.25">
      <c r="A30" s="484" t="str">
        <f>IF('Kennzahlenbogen_(KB)'!R92=0,"",'Kennzahlenbogen_(KB)'!R92)</f>
        <v>Unvollständig</v>
      </c>
      <c r="C30" s="485">
        <f>IF($A30="I.O.","",'Kennzahlenbogen_(KB)'!B92)</f>
        <v>22</v>
      </c>
      <c r="D30" s="486" t="str">
        <f>IF($A30="I.O.","",'Kennzahlenbogen_(KB)'!E92)</f>
        <v>Anteil lokal begrenztes PCa u. niedriges Risiko bei RPE/RZE</v>
      </c>
      <c r="E30" s="487" t="str">
        <f>IF(AND('Kennzahlenbogen_(KB)'!L92="",$A30&lt;&gt;"I.O."),"-----",IF($A30="I.O.","",'Kennzahlenbogen_(KB)'!L92))</f>
        <v>-----</v>
      </c>
      <c r="F30" s="487" t="str">
        <f>IF($A30="I.O.","",'Kennzahlenbogen_(KB)'!M92)</f>
        <v>Derzeit keine
Vorgaben</v>
      </c>
      <c r="G30" s="487" t="str">
        <f>IF(AND('Kennzahlenbogen_(KB)'!O92="",$A30&lt;&gt;"I.O."),"-----",IF($A30="I.O.","",'Kennzahlenbogen_(KB)'!O92))</f>
        <v>-----</v>
      </c>
      <c r="H30" s="485">
        <f>IF($A30="I.O.","",IF('Kennzahlenbogen_(KB)'!Q92="","-----",'Kennzahlenbogen_(KB)'!Q92))</f>
        <v>0</v>
      </c>
      <c r="I30" s="485">
        <f>IF($A30="I.O.","",IF('Kennzahlenbogen_(KB)'!Q93="","-----",'Kennzahlenbogen_(KB)'!Q93))</f>
        <v>0</v>
      </c>
      <c r="J30" s="485" t="str">
        <f>IF($A30="I.O.","",IF('Kennzahlenbogen_(KB)'!Q94="","-----",'Kennzahlenbogen_(KB)'!Q94))</f>
        <v>n.d.</v>
      </c>
      <c r="K30" s="485" t="str">
        <f>IF($A30="I.O.","",'Kennzahlenbogen_(KB)'!R92)</f>
        <v>Unvollständig</v>
      </c>
      <c r="L30" s="486" t="str">
        <f>IF(AND('Kennzahlenbogen_(KB)'!S92="",$A30&lt;&gt;"I.O."),"-----",IF($A30="I.O.","",'Kennzahlenbogen_(KB)'!S92))</f>
        <v>-----</v>
      </c>
      <c r="M30" s="486" t="str">
        <f>IF(AND('Kennzahlenbogen_(KB)'!T92="",$A30&lt;&gt;"I.O."),"-----",IF($A30="I.O.","",'Kennzahlenbogen_(KB)'!T92))</f>
        <v>-----</v>
      </c>
      <c r="O30" s="485">
        <f t="array" aca="1" ref="O30" ca="1">IF(ROW()-ROW($D$2:$D$31)+1&gt;ROWS($C$2:$C$31)-COUNTBLANK($C$2:$C$31),"",INDIRECT(ADDRESS(SMALL((IF($C$2:$C$31&lt;&gt;"",ROW($C$2:$C$31),ROW()+ROWS($C$2:$C$31))),ROW()-ROW($D$2:$D$31)+1),COLUMN($C$2:$C$31),4)))</f>
        <v>22</v>
      </c>
      <c r="P30" s="488" t="str">
        <f t="array" aca="1" ref="P30" ca="1">IF(ROW()-ROW($E$2:$E$31)+1&gt;ROWS($D$2:$D$31)-COUNTBLANK($D$2:$D$31),"",INDIRECT(ADDRESS(SMALL((IF($D$2:$D$31&gt;"",ROW($D$2:$D$31),ROW()+ROWS($D$2:$D$31))),ROW()-ROW($E$2:$E$31)+1),COLUMN($D$2:$D$31),4)))</f>
        <v>Anteil lokal begrenztes PCa u. niedriges Risiko bei RPE/RZE</v>
      </c>
      <c r="Q30" s="485" t="str">
        <f t="array" aca="1" ref="Q30" ca="1">IF(ROW()-ROW($F$2:$F$31)+1&gt;ROWS($E$2:$E$31)-COUNTBLANK($E$2:$E$31),"",INDIRECT(ADDRESS(SMALL((IF($E$2:$E$31&gt;"",ROW($E$2:$E$31),ROW()+ROWS($E$2:$E$31))),ROW()-ROW($F$2:$F$31)+1),COLUMN($E$2:$E$31),4)))</f>
        <v>-----</v>
      </c>
      <c r="R30" s="485" t="str">
        <f t="array" aca="1" ref="R30" ca="1">IF(ROW()-ROW($G$2:$G$31)+1&gt;ROWS($F$2:$F$31)-COUNTBLANK($F$2:$F$31),"",INDIRECT(ADDRESS(SMALL((IF($F$2:$F$31&gt;"",ROW($F$2:$F$31),ROW()+ROWS($F$2:$F$31))),ROW()-ROW($G$2:$G$31)+1),COLUMN($F$2:$F$31),4)))</f>
        <v>Derzeit keine
Vorgaben</v>
      </c>
      <c r="S30" s="485" t="str">
        <f t="array" aca="1" ref="S30" ca="1">IF(ROW()-ROW($H$2:$H$31)+1&gt;ROWS($G$2:$G$31)-COUNTBLANK($G$2:$G$31),"",INDIRECT(ADDRESS(SMALL((IF($G$2:$G$31&lt;&gt;"",ROW($G$2:$G$31),ROW()+ROWS($G$2:$G$31))),ROW()-ROW($H$2:$H$31)+1),COLUMN($G$2:$G$31),4)))</f>
        <v>-----</v>
      </c>
      <c r="T30" s="485">
        <f t="array" aca="1" ref="T30" ca="1">IF(ROW()-ROW($I$2:$I$31)+1&gt;ROWS($H$2:$H$31)-COUNTBLANK($H$2:$H$31),"",INDIRECT(ADDRESS(SMALL((IF($H$2:$H$31&lt;&gt;"",ROW($H$2:$H$31),ROW()+ROWS($H$2:$H$31))),ROW()-ROW($I$2:$I$31)+1),COLUMN($H$2:$H$31),4)))</f>
        <v>0</v>
      </c>
      <c r="U30" s="485">
        <f t="array" aca="1" ref="U30" ca="1">IF(ROW()-ROW($J$2:$J$31)+1&gt;ROWS($I$2:$I$31)-COUNTBLANK($I$2:$I$31),"",INDIRECT(ADDRESS(SMALL((IF($I$2:$I$31&lt;&gt;"",ROW($I$2:$I$31),ROW()+ROWS($I$2:$I$31))),ROW()-ROW($J$2:$J$31)+1),COLUMN($I$2:$I$31),4)))</f>
        <v>0</v>
      </c>
      <c r="V30" s="485" t="str">
        <f t="array" aca="1" ref="V30" ca="1">IF(ROW()-ROW($K$2:$K$31)+1&gt;ROWS($J$2:$J$31)-COUNTBLANK($J$2:$J$31),"",INDIRECT(ADDRESS(SMALL((IF($J$2:$J$31&lt;&gt;"",ROW($J$2:$J$31),ROW()+ROWS($J$2:$J$31))),ROW()-ROW($K$2:$K$31)+1),COLUMN($J$2:$J$31),4)))</f>
        <v>n.d.</v>
      </c>
      <c r="W30" s="488" t="str">
        <f t="array" aca="1" ref="W30" ca="1">IF(ROW()-ROW($L$2:$L$31)+1&gt;ROWS($K$2:$K$31)-COUNTBLANK($K$2:$K$31),"",INDIRECT(ADDRESS(SMALL((IF($K$2:$K$31&lt;&gt;"",ROW($K$2:$K$31),ROW()+ROWS($K$2:$K$31))),ROW()-ROW($L$2:$L$31)+1),COLUMN($K$2:$K$31),4)))</f>
        <v>Unvollständig</v>
      </c>
      <c r="X30" s="488" t="str">
        <f t="array" aca="1" ref="X30" ca="1">IF(ROW()-ROW($M$2:$M$31)+1&gt;ROWS($L$2:$L$31)-COUNTBLANK($L$2:$L$31),"",INDIRECT(ADDRESS(SMALL((IF($L$2:$L$31&lt;&gt;"",ROW($L$2:$L$31),ROW()+ROWS($L$2:$L$31))),ROW()-ROW($M$2:$M$31)+1),COLUMN($L$2:$L$31),4)))</f>
        <v>-----</v>
      </c>
      <c r="Y30" s="488" t="str">
        <f t="array" aca="1" ref="Y30" ca="1">IF(ROW()-ROW($N$2:$N$31)+1&gt;ROWS($M$2:$M$31)-COUNTBLANK($M$2:$M$31),"",INDIRECT(ADDRESS(SMALL((IF($M$2:$M$31&lt;&gt;"",ROW($M$2:$M$31),ROW()+ROWS($M$2:$M$31))),ROW()-ROW($N$2:$N$31)+1),COLUMN($M$2:$M$31),4)))</f>
        <v>-----</v>
      </c>
    </row>
    <row r="31" spans="1:25" ht="33.75" x14ac:dyDescent="0.25">
      <c r="A31" s="484" t="str">
        <f>IF('Kennzahlenbogen_(KB)'!R95=0,"",'Kennzahlenbogen_(KB)'!R95)</f>
        <v>Unvollständig</v>
      </c>
      <c r="C31" s="485">
        <f>IF($A31="I.O.","",'Kennzahlenbogen_(KB)'!B95)</f>
        <v>23</v>
      </c>
      <c r="D31" s="486" t="str">
        <f>IF($A31="I.O.","",'Kennzahlenbogen_(KB)'!E95)</f>
        <v>RPE/RZE bei Primärfällen mit lokal begrenztem PCa u. niedrigem Risiko</v>
      </c>
      <c r="E31" s="487" t="str">
        <f>IF(AND('Kennzahlenbogen_(KB)'!L95="",$A31&lt;&gt;"I.O."),"-----",IF($A31="I.O.","",'Kennzahlenbogen_(KB)'!L95))</f>
        <v>-----</v>
      </c>
      <c r="F31" s="487" t="str">
        <f>IF($A31="I.O.","",'Kennzahlenbogen_(KB)'!M95)</f>
        <v>Derzeit keine
Vorgaben</v>
      </c>
      <c r="G31" s="487" t="str">
        <f>IF(AND('Kennzahlenbogen_(KB)'!O95="",$A31&lt;&gt;"I.O."),"-----",IF($A31="I.O.","",'Kennzahlenbogen_(KB)'!O95))</f>
        <v>-----</v>
      </c>
      <c r="H31" s="485">
        <f>IF($A31="I.O.","",IF('Kennzahlenbogen_(KB)'!Q95="","-----",'Kennzahlenbogen_(KB)'!Q95))</f>
        <v>0</v>
      </c>
      <c r="I31" s="485">
        <f>IF($A31="I.O.","",IF('Kennzahlenbogen_(KB)'!Q96="","-----",'Kennzahlenbogen_(KB)'!Q96))</f>
        <v>0</v>
      </c>
      <c r="J31" s="485" t="str">
        <f>IF($A31="I.O.","",IF('Kennzahlenbogen_(KB)'!Q97="","-----",'Kennzahlenbogen_(KB)'!Q97))</f>
        <v>n.d.</v>
      </c>
      <c r="K31" s="485" t="str">
        <f>IF($A31="I.O.","",'Kennzahlenbogen_(KB)'!R95)</f>
        <v>Unvollständig</v>
      </c>
      <c r="L31" s="486" t="str">
        <f>IF(AND('Kennzahlenbogen_(KB)'!S95="",$A31&lt;&gt;"I.O."),"-----",IF($A31="I.O.","",'Kennzahlenbogen_(KB)'!S95))</f>
        <v>-----</v>
      </c>
      <c r="M31" s="486" t="str">
        <f>IF(AND('Kennzahlenbogen_(KB)'!T95="",$A31&lt;&gt;"I.O."),"-----",IF($A31="I.O.","",'Kennzahlenbogen_(KB)'!T95))</f>
        <v>-----</v>
      </c>
      <c r="O31" s="485">
        <f t="array" aca="1" ref="O31" ca="1">IF(ROW()-ROW($D$2:$D$31)+1&gt;ROWS($C$2:$C$31)-COUNTBLANK($C$2:$C$31),"",INDIRECT(ADDRESS(SMALL((IF($C$2:$C$31&lt;&gt;"",ROW($C$2:$C$31),ROW()+ROWS($C$2:$C$31))),ROW()-ROW($D$2:$D$31)+1),COLUMN($C$2:$C$31),4)))</f>
        <v>23</v>
      </c>
      <c r="P31" s="488" t="str">
        <f t="array" aca="1" ref="P31" ca="1">IF(ROW()-ROW($E$2:$E$31)+1&gt;ROWS($D$2:$D$31)-COUNTBLANK($D$2:$D$31),"",INDIRECT(ADDRESS(SMALL((IF($D$2:$D$31&gt;"",ROW($D$2:$D$31),ROW()+ROWS($D$2:$D$31))),ROW()-ROW($E$2:$E$31)+1),COLUMN($D$2:$D$31),4)))</f>
        <v>RPE/RZE bei Primärfällen mit lokal begrenztem PCa u. niedrigem Risiko</v>
      </c>
      <c r="Q31" s="485" t="str">
        <f t="array" aca="1" ref="Q31" ca="1">IF(ROW()-ROW($F$2:$F$31)+1&gt;ROWS($E$2:$E$31)-COUNTBLANK($E$2:$E$31),"",INDIRECT(ADDRESS(SMALL((IF($E$2:$E$31&gt;"",ROW($E$2:$E$31),ROW()+ROWS($E$2:$E$31))),ROW()-ROW($F$2:$F$31)+1),COLUMN($E$2:$E$31),4)))</f>
        <v>-----</v>
      </c>
      <c r="R31" s="485" t="str">
        <f t="array" aca="1" ref="R31" ca="1">IF(ROW()-ROW($G$2:$G$31)+1&gt;ROWS($F$2:$F$31)-COUNTBLANK($F$2:$F$31),"",INDIRECT(ADDRESS(SMALL((IF($F$2:$F$31&gt;"",ROW($F$2:$F$31),ROW()+ROWS($F$2:$F$31))),ROW()-ROW($G$2:$G$31)+1),COLUMN($F$2:$F$31),4)))</f>
        <v>Derzeit keine
Vorgaben</v>
      </c>
      <c r="S31" s="485" t="str">
        <f t="array" aca="1" ref="S31" ca="1">IF(ROW()-ROW($H$2:$H$31)+1&gt;ROWS($G$2:$G$31)-COUNTBLANK($G$2:$G$31),"",INDIRECT(ADDRESS(SMALL((IF($G$2:$G$31&lt;&gt;"",ROW($G$2:$G$31),ROW()+ROWS($G$2:$G$31))),ROW()-ROW($H$2:$H$31)+1),COLUMN($G$2:$G$31),4)))</f>
        <v>-----</v>
      </c>
      <c r="T31" s="485">
        <f t="array" aca="1" ref="T31" ca="1">IF(ROW()-ROW($I$2:$I$31)+1&gt;ROWS($H$2:$H$31)-COUNTBLANK($H$2:$H$31),"",INDIRECT(ADDRESS(SMALL((IF($H$2:$H$31&lt;&gt;"",ROW($H$2:$H$31),ROW()+ROWS($H$2:$H$31))),ROW()-ROW($I$2:$I$31)+1),COLUMN($H$2:$H$31),4)))</f>
        <v>0</v>
      </c>
      <c r="U31" s="485">
        <f t="array" aca="1" ref="U31" ca="1">IF(ROW()-ROW($J$2:$J$31)+1&gt;ROWS($I$2:$I$31)-COUNTBLANK($I$2:$I$31),"",INDIRECT(ADDRESS(SMALL((IF($I$2:$I$31&lt;&gt;"",ROW($I$2:$I$31),ROW()+ROWS($I$2:$I$31))),ROW()-ROW($J$2:$J$31)+1),COLUMN($I$2:$I$31),4)))</f>
        <v>0</v>
      </c>
      <c r="V31" s="485" t="str">
        <f t="array" aca="1" ref="V31" ca="1">IF(ROW()-ROW($K$2:$K$31)+1&gt;ROWS($J$2:$J$31)-COUNTBLANK($J$2:$J$31),"",INDIRECT(ADDRESS(SMALL((IF($J$2:$J$31&lt;&gt;"",ROW($J$2:$J$31),ROW()+ROWS($J$2:$J$31))),ROW()-ROW($K$2:$K$31)+1),COLUMN($J$2:$J$31),4)))</f>
        <v>n.d.</v>
      </c>
      <c r="W31" s="488" t="str">
        <f t="array" aca="1" ref="W31" ca="1">IF(ROW()-ROW($L$2:$L$31)+1&gt;ROWS($K$2:$K$31)-COUNTBLANK($K$2:$K$31),"",INDIRECT(ADDRESS(SMALL((IF($K$2:$K$31&lt;&gt;"",ROW($K$2:$K$31),ROW()+ROWS($K$2:$K$31))),ROW()-ROW($L$2:$L$31)+1),COLUMN($K$2:$K$31),4)))</f>
        <v>Unvollständig</v>
      </c>
      <c r="X31" s="488" t="str">
        <f t="array" aca="1" ref="X31" ca="1">IF(ROW()-ROW($M$2:$M$31)+1&gt;ROWS($L$2:$L$31)-COUNTBLANK($L$2:$L$31),"",INDIRECT(ADDRESS(SMALL((IF($L$2:$L$31&lt;&gt;"",ROW($L$2:$L$31),ROW()+ROWS($L$2:$L$31))),ROW()-ROW($M$2:$M$31)+1),COLUMN($L$2:$L$31),4)))</f>
        <v>-----</v>
      </c>
      <c r="Y31" s="488" t="str">
        <f t="array" aca="1" ref="Y31" ca="1">IF(ROW()-ROW($N$2:$N$31)+1&gt;ROWS($M$2:$M$31)-COUNTBLANK($M$2:$M$31),"",INDIRECT(ADDRESS(SMALL((IF($M$2:$M$31&lt;&gt;"",ROW($M$2:$M$31),ROW()+ROWS($M$2:$M$31))),ROW()-ROW($N$2:$N$31)+1),COLUMN($M$2:$M$31),4)))</f>
        <v>-----</v>
      </c>
    </row>
  </sheetData>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dimension ref="B1:AG98"/>
  <sheetViews>
    <sheetView showGridLines="0" zoomScaleNormal="100" workbookViewId="0">
      <selection activeCell="D20" sqref="D20"/>
    </sheetView>
  </sheetViews>
  <sheetFormatPr defaultColWidth="9" defaultRowHeight="14.25" x14ac:dyDescent="0.2"/>
  <cols>
    <col min="1" max="1" width="0.85546875" style="3" customWidth="1"/>
    <col min="2" max="2" width="14.42578125" style="3" customWidth="1"/>
    <col min="3" max="3" width="10.7109375" style="3" customWidth="1"/>
    <col min="4" max="4" width="14.42578125" style="3" customWidth="1"/>
    <col min="5" max="5" width="0.5703125" style="3" customWidth="1"/>
    <col min="6" max="7" width="10.7109375" style="3" customWidth="1"/>
    <col min="8" max="8" width="0.5703125" style="3" customWidth="1"/>
    <col min="9" max="9" width="10.7109375" style="3" customWidth="1"/>
    <col min="10" max="10" width="12.5703125" style="3" customWidth="1"/>
    <col min="11" max="11" width="0.5703125" style="3" customWidth="1"/>
    <col min="12" max="13" width="10.7109375" style="3" customWidth="1"/>
    <col min="14" max="14" width="4.7109375" style="3" customWidth="1"/>
    <col min="15" max="15" width="5.42578125" style="3" customWidth="1"/>
    <col min="16" max="18" width="4.85546875" style="3" customWidth="1"/>
    <col min="19" max="20" width="0.42578125" style="3" customWidth="1"/>
    <col min="21" max="21" width="4.85546875" style="3" customWidth="1"/>
    <col min="22" max="22" width="4.42578125" style="3" customWidth="1"/>
    <col min="23" max="23" width="4.85546875" style="3" customWidth="1"/>
    <col min="24" max="24" width="4.42578125" style="3" customWidth="1"/>
    <col min="25" max="26" width="4.85546875" style="3" customWidth="1"/>
    <col min="27" max="27" width="0.5703125" style="3" customWidth="1"/>
    <col min="28" max="28" width="6" style="3" customWidth="1"/>
    <col min="29" max="29" width="6.42578125" style="12" customWidth="1"/>
    <col min="30" max="223" width="11.42578125" style="3" customWidth="1"/>
    <col min="224" max="16384" width="9" style="3"/>
  </cols>
  <sheetData>
    <row r="1" spans="2:33" ht="9.9499999999999993" customHeight="1" x14ac:dyDescent="0.2">
      <c r="D1" s="28"/>
      <c r="P1" s="17"/>
      <c r="Q1" s="17"/>
      <c r="R1" s="17"/>
      <c r="S1" s="17"/>
      <c r="T1" s="17"/>
      <c r="U1" s="17"/>
    </row>
    <row r="2" spans="2:33" ht="12.95" customHeight="1" x14ac:dyDescent="0.2">
      <c r="B2" s="504" t="str">
        <f>Basisdaten!B2</f>
        <v>Anlage EB Version P1.2 (Auditjahr 2025 / Kennzahlenjahr 2024)</v>
      </c>
      <c r="P2" s="17"/>
      <c r="Q2" s="17"/>
      <c r="R2" s="17"/>
      <c r="S2" s="17"/>
      <c r="T2" s="17"/>
      <c r="U2" s="17"/>
    </row>
    <row r="3" spans="2:33" ht="19.5" customHeight="1" x14ac:dyDescent="0.2">
      <c r="B3" s="162" t="s">
        <v>362</v>
      </c>
      <c r="P3" s="17"/>
      <c r="Q3" s="17"/>
      <c r="R3" s="17"/>
      <c r="S3" s="17"/>
      <c r="T3" s="17"/>
      <c r="U3" s="17"/>
      <c r="V3" s="18"/>
      <c r="W3" s="18"/>
      <c r="X3" s="18"/>
    </row>
    <row r="4" spans="2:33" ht="12" customHeight="1" x14ac:dyDescent="0.2">
      <c r="B4" s="22" t="s">
        <v>393</v>
      </c>
      <c r="P4" s="17"/>
      <c r="Q4" s="17"/>
      <c r="R4" s="17"/>
      <c r="S4" s="17"/>
      <c r="T4" s="17"/>
      <c r="U4" s="17"/>
      <c r="V4" s="18"/>
      <c r="W4" s="18"/>
      <c r="X4" s="18"/>
    </row>
    <row r="5" spans="2:33" ht="11.25" customHeight="1" x14ac:dyDescent="0.2">
      <c r="U5" s="17"/>
    </row>
    <row r="6" spans="2:33" s="23" customFormat="1" ht="15" customHeight="1" x14ac:dyDescent="0.2">
      <c r="B6" s="163" t="s">
        <v>138</v>
      </c>
      <c r="C6" s="931" t="str">
        <f>IF(Basisdaten!C8=0,"",Basisdaten!C8)</f>
        <v/>
      </c>
      <c r="D6" s="932"/>
      <c r="E6" s="932"/>
      <c r="F6" s="932"/>
      <c r="G6" s="932"/>
      <c r="H6" s="932"/>
      <c r="I6" s="932"/>
      <c r="J6" s="932"/>
      <c r="K6" s="932"/>
      <c r="L6" s="932"/>
      <c r="M6" s="933"/>
      <c r="P6" s="11"/>
    </row>
    <row r="7" spans="2:33" s="23" customFormat="1" ht="6.95" customHeight="1" x14ac:dyDescent="0.2">
      <c r="B7" s="25"/>
      <c r="C7" s="5"/>
      <c r="D7" s="9"/>
      <c r="E7" s="9"/>
      <c r="F7" s="9"/>
      <c r="G7" s="9"/>
      <c r="H7" s="9"/>
      <c r="I7" s="9"/>
      <c r="J7" s="9"/>
      <c r="K7" s="9"/>
      <c r="Q7" s="11"/>
    </row>
    <row r="8" spans="2:33" s="23" customFormat="1" ht="15" customHeight="1" x14ac:dyDescent="0.2">
      <c r="B8" s="164" t="s">
        <v>83</v>
      </c>
      <c r="C8" s="931" t="str">
        <f>IF(Basisdaten!C6=0,"",Basisdaten!C6)</f>
        <v/>
      </c>
      <c r="D8" s="932"/>
      <c r="E8" s="933"/>
      <c r="F8" s="161"/>
      <c r="G8" s="62"/>
      <c r="H8" s="62"/>
      <c r="I8" s="1008" t="s">
        <v>442</v>
      </c>
      <c r="J8" s="1008"/>
      <c r="K8" s="999" t="str">
        <f>IF(Basisdaten!M12=0,"",Basisdaten!M12)</f>
        <v/>
      </c>
      <c r="L8" s="1000"/>
      <c r="M8" s="1001"/>
      <c r="P8" s="11"/>
    </row>
    <row r="9" spans="2:33" s="23" customFormat="1" ht="3.75" customHeight="1" x14ac:dyDescent="0.2">
      <c r="C9" s="24"/>
      <c r="D9" s="25"/>
      <c r="E9" s="3"/>
      <c r="Q9" s="11"/>
    </row>
    <row r="10" spans="2:33" ht="3.75" customHeight="1" x14ac:dyDescent="0.2"/>
    <row r="11" spans="2:33" ht="10.5" customHeight="1" x14ac:dyDescent="0.2">
      <c r="B11" s="947"/>
      <c r="C11" s="947"/>
      <c r="D11" s="947"/>
      <c r="E11" s="947"/>
      <c r="F11" s="947"/>
      <c r="G11" s="947"/>
      <c r="H11" s="947"/>
      <c r="I11" s="947"/>
      <c r="J11" s="947"/>
      <c r="K11" s="947"/>
      <c r="L11" s="947"/>
      <c r="M11" s="947"/>
    </row>
    <row r="12" spans="2:33" ht="16.5" customHeight="1" x14ac:dyDescent="0.2">
      <c r="B12" s="166" t="s">
        <v>107</v>
      </c>
      <c r="C12" s="44"/>
      <c r="D12" s="10"/>
      <c r="E12" s="46"/>
      <c r="F12" s="10"/>
      <c r="G12" s="10"/>
      <c r="H12" s="45"/>
      <c r="I12" s="44"/>
      <c r="J12" s="44"/>
      <c r="K12" s="44"/>
      <c r="L12" s="44"/>
      <c r="M12" s="44"/>
      <c r="N12" s="44"/>
      <c r="O12" s="44"/>
      <c r="P12" s="10"/>
      <c r="Q12" s="10"/>
      <c r="R12" s="10"/>
      <c r="S12" s="44"/>
      <c r="T12" s="44"/>
      <c r="U12" s="10"/>
      <c r="V12" s="10"/>
      <c r="W12" s="10"/>
      <c r="X12" s="44"/>
      <c r="Y12" s="10"/>
      <c r="Z12" s="10"/>
      <c r="AA12" s="10"/>
      <c r="AB12" s="10"/>
      <c r="AC12" s="10"/>
    </row>
    <row r="13" spans="2:33" ht="13.5" customHeight="1" x14ac:dyDescent="0.2">
      <c r="B13" s="975" t="str">
        <f>IF(OR(B14="",B14="Matrix kann eingereicht werden"),"In Ordnung",IF(B14="die inkorrekten und unvollständigen Einträge beheben","Nicht in Ordnung"))</f>
        <v>In Ordnung</v>
      </c>
      <c r="C13" s="975"/>
      <c r="D13" s="1011" t="s">
        <v>81</v>
      </c>
      <c r="E13" s="1011"/>
      <c r="F13" s="1012"/>
      <c r="G13" s="978" t="s">
        <v>11</v>
      </c>
      <c r="H13" s="979"/>
      <c r="I13" s="980"/>
      <c r="J13" s="951" t="s">
        <v>100</v>
      </c>
      <c r="K13" s="952"/>
      <c r="L13" s="951" t="s">
        <v>445</v>
      </c>
      <c r="M13" s="952"/>
      <c r="N13" s="23"/>
      <c r="O13" s="23"/>
      <c r="P13" s="23"/>
      <c r="Q13" s="44"/>
      <c r="R13" s="44"/>
      <c r="S13" s="44"/>
      <c r="T13" s="44"/>
      <c r="U13" s="44"/>
      <c r="V13" s="44"/>
      <c r="W13" s="44"/>
      <c r="X13" s="44"/>
      <c r="Y13" s="44"/>
      <c r="Z13" s="44"/>
      <c r="AA13" s="44"/>
      <c r="AB13" s="44"/>
      <c r="AC13" s="44"/>
      <c r="AD13" s="44"/>
      <c r="AE13" s="44"/>
      <c r="AF13" s="44"/>
      <c r="AG13" s="44"/>
    </row>
    <row r="14" spans="2:33" s="23" customFormat="1" ht="18.75" customHeight="1" x14ac:dyDescent="0.2">
      <c r="B14" s="981" t="str">
        <f>Berechnung2!B6</f>
        <v/>
      </c>
      <c r="C14" s="982"/>
      <c r="D14" s="1013">
        <f>Berechnung2!C6</f>
        <v>0</v>
      </c>
      <c r="E14" s="1013"/>
      <c r="F14" s="1014"/>
      <c r="G14" s="1002">
        <f>Berechnung2!D6</f>
        <v>0</v>
      </c>
      <c r="H14" s="1003"/>
      <c r="I14" s="1004"/>
      <c r="J14" s="953">
        <f>Berechnung2!E6</f>
        <v>0</v>
      </c>
      <c r="K14" s="954"/>
      <c r="L14" s="953">
        <f>Berechnung2!F6</f>
        <v>0</v>
      </c>
      <c r="M14" s="954"/>
      <c r="N14" s="3"/>
      <c r="O14" s="3"/>
      <c r="P14" s="3"/>
      <c r="AG14" s="11"/>
    </row>
    <row r="15" spans="2:33" s="23" customFormat="1" ht="8.25" customHeight="1" thickBot="1" x14ac:dyDescent="0.25">
      <c r="C15" s="5"/>
      <c r="D15" s="10"/>
      <c r="E15" s="10"/>
      <c r="F15" s="10"/>
      <c r="G15" s="10"/>
      <c r="H15" s="10"/>
      <c r="I15" s="10"/>
      <c r="J15" s="22"/>
      <c r="K15" s="27"/>
      <c r="L15" s="22"/>
      <c r="M15" s="22"/>
      <c r="O15" s="3"/>
      <c r="P15" s="3"/>
      <c r="Q15" s="3"/>
      <c r="R15" s="3"/>
      <c r="S15" s="3"/>
      <c r="T15" s="3"/>
      <c r="U15" s="3"/>
      <c r="AC15" s="11"/>
    </row>
    <row r="16" spans="2:33" ht="27.75" customHeight="1" thickTop="1" thickBot="1" x14ac:dyDescent="0.25">
      <c r="B16" s="339"/>
      <c r="C16" s="340"/>
      <c r="D16" s="341" t="s">
        <v>352</v>
      </c>
      <c r="E16" s="986">
        <v>1</v>
      </c>
      <c r="F16" s="1015" t="s">
        <v>88</v>
      </c>
      <c r="G16" s="989"/>
      <c r="H16" s="983"/>
      <c r="I16" s="989" t="s">
        <v>106</v>
      </c>
      <c r="J16" s="991"/>
      <c r="K16" s="986"/>
      <c r="L16" s="989" t="s">
        <v>61</v>
      </c>
      <c r="M16" s="990"/>
      <c r="AC16" s="3"/>
    </row>
    <row r="17" spans="2:29" ht="15" customHeight="1" thickBot="1" x14ac:dyDescent="0.25">
      <c r="B17" s="342" t="s">
        <v>351</v>
      </c>
      <c r="C17" s="77" t="s">
        <v>285</v>
      </c>
      <c r="D17" s="76" t="s">
        <v>280</v>
      </c>
      <c r="E17" s="987"/>
      <c r="F17" s="77" t="s">
        <v>12</v>
      </c>
      <c r="G17" s="78" t="s">
        <v>281</v>
      </c>
      <c r="H17" s="984"/>
      <c r="I17" s="78" t="s">
        <v>13</v>
      </c>
      <c r="J17" s="76" t="s">
        <v>282</v>
      </c>
      <c r="K17" s="987"/>
      <c r="L17" s="83" t="s">
        <v>87</v>
      </c>
      <c r="M17" s="343" t="s">
        <v>283</v>
      </c>
      <c r="Q17" s="4"/>
      <c r="AC17" s="3"/>
    </row>
    <row r="18" spans="2:29" ht="126" customHeight="1" x14ac:dyDescent="0.2">
      <c r="B18" s="997" t="s">
        <v>59</v>
      </c>
      <c r="C18" s="955" t="s">
        <v>510</v>
      </c>
      <c r="D18" s="973" t="s">
        <v>561</v>
      </c>
      <c r="E18" s="987"/>
      <c r="F18" s="973" t="s">
        <v>746</v>
      </c>
      <c r="G18" s="1009" t="s">
        <v>391</v>
      </c>
      <c r="H18" s="984"/>
      <c r="I18" s="955" t="s">
        <v>830</v>
      </c>
      <c r="J18" s="992" t="s">
        <v>224</v>
      </c>
      <c r="K18" s="987"/>
      <c r="L18" s="955" t="s">
        <v>225</v>
      </c>
      <c r="M18" s="976" t="s">
        <v>226</v>
      </c>
      <c r="AC18" s="3"/>
    </row>
    <row r="19" spans="2:29" ht="35.25" customHeight="1" thickBot="1" x14ac:dyDescent="0.25">
      <c r="B19" s="998"/>
      <c r="C19" s="956"/>
      <c r="D19" s="974"/>
      <c r="E19" s="987"/>
      <c r="F19" s="974"/>
      <c r="G19" s="1010"/>
      <c r="H19" s="984"/>
      <c r="I19" s="956"/>
      <c r="J19" s="993"/>
      <c r="K19" s="987"/>
      <c r="L19" s="956"/>
      <c r="M19" s="977"/>
      <c r="AC19" s="3"/>
    </row>
    <row r="20" spans="2:29" s="10" customFormat="1" ht="20.25" customHeight="1" thickBot="1" x14ac:dyDescent="0.3">
      <c r="B20" s="344" t="str">
        <f>IF(Berechnung2!$B$31&gt;5,IF(Berechnung2!$B$31=6,"EZ",IF(Berechnung2!$B$31&gt;6,"relevant","?")),"nicht relevant")</f>
        <v>nicht relevant</v>
      </c>
      <c r="C20" s="326">
        <v>2018</v>
      </c>
      <c r="D20" s="305"/>
      <c r="E20" s="987"/>
      <c r="F20" s="307"/>
      <c r="G20" s="308" t="str">
        <f>IF(OR(D20="",D20=0),"",IF(AND(D20&gt;0,F20&gt;0,F20&lt;&gt;"",F20&lt;=D20),F20/D20,0))</f>
        <v/>
      </c>
      <c r="H20" s="984"/>
      <c r="I20" s="307"/>
      <c r="J20" s="308" t="str">
        <f>IF(F20="","",IF(I20="","",IF(AND(I20&gt;0,I20&lt;=F20),I20/F20,0)))</f>
        <v/>
      </c>
      <c r="K20" s="987"/>
      <c r="L20" s="307"/>
      <c r="M20" s="345" t="str">
        <f>IF(F20="","",IF(L20="","",IF(AND(L20&gt;0,L20&lt;=F20),L20/F20,0)))</f>
        <v/>
      </c>
      <c r="O20" s="42"/>
    </row>
    <row r="21" spans="2:29" s="10" customFormat="1" ht="20.25" customHeight="1" thickBot="1" x14ac:dyDescent="0.3">
      <c r="B21" s="344" t="str">
        <f>IF(Berechnung2!$B$31&gt;4,IF(Berechnung2!$B$31=5,"EZ",IF(Berechnung2!$B$31&gt;5,"relevant","?")),"nicht relevant")</f>
        <v>nicht relevant</v>
      </c>
      <c r="C21" s="326">
        <v>2019</v>
      </c>
      <c r="D21" s="306"/>
      <c r="E21" s="987"/>
      <c r="F21" s="307"/>
      <c r="G21" s="309" t="str">
        <f>IF(OR(D21="",D21=0),"",IF(AND(D21&gt;0,F21&gt;0,F21&lt;&gt;"",F21&lt;=D21),F21/D21,0))</f>
        <v/>
      </c>
      <c r="H21" s="984"/>
      <c r="I21" s="307"/>
      <c r="J21" s="309" t="str">
        <f>IF(F21="","",IF(I21="","",IF(AND(I21&gt;0,I21&lt;=F21),I21/F21,0)))</f>
        <v/>
      </c>
      <c r="K21" s="987"/>
      <c r="L21" s="307"/>
      <c r="M21" s="345" t="str">
        <f>IF(F21="","",IF(L21="","",IF(AND(L21&gt;0,L21&lt;=F21),L21/F21,0)))</f>
        <v/>
      </c>
    </row>
    <row r="22" spans="2:29" s="10" customFormat="1" ht="20.25" customHeight="1" thickBot="1" x14ac:dyDescent="0.3">
      <c r="B22" s="344" t="str">
        <f>IF(Berechnung2!$B$31&gt;3,IF(Berechnung2!$B$31=4,"EZ",IF(Berechnung2!$B$31&gt;4,"relevant","?")),"nicht relevant")</f>
        <v>nicht relevant</v>
      </c>
      <c r="C22" s="326">
        <v>2020</v>
      </c>
      <c r="D22" s="306"/>
      <c r="E22" s="987"/>
      <c r="F22" s="307"/>
      <c r="G22" s="309" t="str">
        <f>IF(OR(D22="",D22=0),"",IF(AND(D22&gt;0,F22&gt;0,F22&lt;&gt;"",F22&lt;=D22),F22/D22,0))</f>
        <v/>
      </c>
      <c r="H22" s="984"/>
      <c r="I22" s="307"/>
      <c r="J22" s="309" t="str">
        <f>IF(F22="","",IF(I22="","",IF(AND(I22&gt;0,I22&lt;=F22),I22/F22,0)))</f>
        <v/>
      </c>
      <c r="K22" s="987"/>
      <c r="L22" s="307"/>
      <c r="M22" s="345" t="str">
        <f>IF(F22="","",IF(L22="","",IF(AND(L22&gt;0,L22&lt;=F22),L22/F22,0)))</f>
        <v/>
      </c>
    </row>
    <row r="23" spans="2:29" s="10" customFormat="1" ht="20.25" customHeight="1" thickBot="1" x14ac:dyDescent="0.25">
      <c r="B23" s="346" t="str">
        <f>IF(Berechnung2!$B$31&gt;2,IF(Berechnung2!$B$31=3,"EZ",IF(Berechnung2!$B$31&gt;3,"relevant","?")),"nicht relevant")</f>
        <v>nicht relevant</v>
      </c>
      <c r="C23" s="272">
        <v>2021</v>
      </c>
      <c r="D23" s="366"/>
      <c r="E23" s="987"/>
      <c r="F23" s="337"/>
      <c r="G23" s="338" t="str">
        <f>IF(OR(D23="",D23=0),"",IF(AND(D23&gt;0,F23&gt;0,F23&lt;&gt;"",F23&lt;=D23),F23/D23,0))</f>
        <v/>
      </c>
      <c r="H23" s="984"/>
      <c r="I23" s="337"/>
      <c r="J23" s="338" t="str">
        <f>IF(F23="","",IF(I23="","",IF(AND(I23&gt;0,I23&lt;=F23),I23/F23,0)))</f>
        <v/>
      </c>
      <c r="K23" s="987"/>
      <c r="L23" s="337"/>
      <c r="M23" s="347" t="str">
        <f>IF(F23="","",IF(L23="","",IF(AND(L23&gt;0,L23&lt;=F23),L23/F23,0)))</f>
        <v/>
      </c>
      <c r="O23" s="3"/>
      <c r="P23" s="3"/>
      <c r="Q23" s="3"/>
      <c r="R23" s="3"/>
      <c r="S23" s="3"/>
      <c r="T23" s="3"/>
      <c r="U23" s="3"/>
    </row>
    <row r="24" spans="2:29" s="10" customFormat="1" ht="20.25" customHeight="1" thickBot="1" x14ac:dyDescent="0.25">
      <c r="B24" s="348" t="str">
        <f>IF(Berechnung2!$B$31&gt;1,IF(Berechnung2!$B$31=2,"EZ",IF(Berechnung2!$B$31&gt;2,"relevant","?")),"nicht relevant")</f>
        <v>nicht relevant</v>
      </c>
      <c r="C24" s="349">
        <v>2022</v>
      </c>
      <c r="D24" s="350"/>
      <c r="E24" s="988"/>
      <c r="F24" s="351"/>
      <c r="G24" s="352" t="str">
        <f>IF(OR(D24="",D24=0),"",IF(AND(D24&gt;0,F24&gt;0,F24&lt;&gt;"",F24&lt;=D24),F24/D24,0))</f>
        <v/>
      </c>
      <c r="H24" s="985"/>
      <c r="I24" s="351"/>
      <c r="J24" s="352" t="str">
        <f>IF(F24="","",IF(I24="","",IF(AND(I24&gt;0,I24&lt;=F24),I24/F24,0)))</f>
        <v/>
      </c>
      <c r="K24" s="988"/>
      <c r="L24" s="351"/>
      <c r="M24" s="353" t="str">
        <f>IF(F24="","",IF(L24="","",IF(AND(L24&gt;0,L24&lt;=F24),L24/F24,0)))</f>
        <v/>
      </c>
      <c r="O24" s="3"/>
      <c r="P24" s="3"/>
      <c r="Q24" s="3"/>
      <c r="R24" s="3"/>
      <c r="S24" s="3"/>
      <c r="T24" s="3"/>
      <c r="U24" s="3"/>
    </row>
    <row r="25" spans="2:29" ht="5.25" customHeight="1" thickTop="1" thickBot="1" x14ac:dyDescent="0.25"/>
    <row r="26" spans="2:29" ht="18.75" customHeight="1" thickBot="1" x14ac:dyDescent="0.25">
      <c r="C26" s="407" t="s">
        <v>944</v>
      </c>
      <c r="D26" s="182"/>
      <c r="E26" s="182"/>
      <c r="F26" s="183"/>
      <c r="G26" s="268" t="str">
        <f>IF(B24="EZ","-----",IF(B24= "nicht relevant","-----",IF(COUNTBLANK(G22:G24)=3,"",SUMIF(B22:B24,"relevant",G22:G24)/COUNTIF(B22:B24,"relevant"))))</f>
        <v>-----</v>
      </c>
      <c r="K26" s="7"/>
    </row>
    <row r="27" spans="2:29" ht="5.25" customHeight="1" x14ac:dyDescent="0.2">
      <c r="B27" s="8"/>
      <c r="F27" s="53"/>
      <c r="G27" s="53"/>
      <c r="K27" s="7"/>
    </row>
    <row r="28" spans="2:29" ht="34.5" customHeight="1" x14ac:dyDescent="0.2">
      <c r="B28" s="962" t="s">
        <v>945</v>
      </c>
      <c r="C28" s="962"/>
      <c r="D28" s="962"/>
      <c r="E28" s="962"/>
      <c r="F28" s="962"/>
      <c r="G28" s="962"/>
      <c r="H28" s="962"/>
      <c r="I28" s="962"/>
      <c r="J28" s="962"/>
      <c r="K28" s="962"/>
      <c r="L28" s="962"/>
      <c r="M28" s="962"/>
    </row>
    <row r="29" spans="2:29" ht="51.75" customHeight="1" x14ac:dyDescent="0.2">
      <c r="B29" s="1016" t="s">
        <v>946</v>
      </c>
      <c r="C29" s="677"/>
      <c r="D29" s="677"/>
      <c r="E29" s="677"/>
      <c r="F29" s="677"/>
      <c r="G29" s="677"/>
      <c r="H29" s="677"/>
      <c r="I29" s="677"/>
      <c r="J29" s="677"/>
      <c r="K29" s="677"/>
      <c r="L29" s="677"/>
      <c r="M29" s="677"/>
    </row>
    <row r="30" spans="2:29" ht="171" customHeight="1" x14ac:dyDescent="0.2">
      <c r="B30" s="911" t="s">
        <v>947</v>
      </c>
      <c r="C30" s="912"/>
      <c r="D30" s="912"/>
      <c r="E30" s="912"/>
      <c r="F30" s="912"/>
      <c r="G30" s="912"/>
      <c r="H30" s="912"/>
      <c r="I30" s="912"/>
      <c r="J30" s="912"/>
      <c r="K30" s="912"/>
      <c r="L30" s="912"/>
      <c r="M30" s="912"/>
      <c r="N30" s="912"/>
      <c r="O30" s="912"/>
      <c r="P30" s="912"/>
      <c r="Q30" s="912"/>
      <c r="R30" s="912"/>
      <c r="S30" s="912"/>
      <c r="T30" s="912"/>
      <c r="U30" s="912"/>
    </row>
    <row r="31" spans="2:29" ht="7.5" customHeight="1" x14ac:dyDescent="0.2">
      <c r="B31" s="50"/>
      <c r="C31" s="50"/>
      <c r="D31" s="50"/>
      <c r="E31" s="50"/>
      <c r="F31" s="50"/>
      <c r="G31" s="50"/>
      <c r="H31" s="50"/>
      <c r="I31" s="50"/>
      <c r="J31" s="50"/>
      <c r="K31" s="50"/>
      <c r="L31" s="50"/>
      <c r="M31" s="50"/>
      <c r="N31" s="50"/>
      <c r="O31" s="4"/>
      <c r="P31" s="4"/>
      <c r="Q31" s="4"/>
      <c r="R31" s="4"/>
      <c r="S31" s="4"/>
      <c r="T31" s="4"/>
      <c r="U31" s="4"/>
      <c r="V31" s="4"/>
      <c r="W31" s="4"/>
      <c r="X31" s="4"/>
      <c r="Y31" s="4"/>
      <c r="Z31" s="4"/>
      <c r="AA31" s="4"/>
      <c r="AB31" s="4"/>
      <c r="AC31" s="52"/>
    </row>
    <row r="32" spans="2:29" s="4" customFormat="1" ht="12" x14ac:dyDescent="0.2">
      <c r="B32" s="170" t="s">
        <v>284</v>
      </c>
      <c r="J32" s="51"/>
    </row>
    <row r="33" spans="2:29" s="4" customFormat="1" ht="2.25" customHeight="1" x14ac:dyDescent="0.2">
      <c r="B33" s="150"/>
      <c r="J33" s="51"/>
    </row>
    <row r="34" spans="2:29" ht="15" customHeight="1" x14ac:dyDescent="0.2">
      <c r="B34" s="109" t="s">
        <v>363</v>
      </c>
      <c r="C34" s="1005" t="s">
        <v>135</v>
      </c>
      <c r="D34" s="1006"/>
      <c r="E34" s="1007"/>
      <c r="F34" s="1005" t="s">
        <v>62</v>
      </c>
      <c r="G34" s="1006"/>
      <c r="H34" s="1007"/>
      <c r="I34" s="948" t="s">
        <v>136</v>
      </c>
      <c r="J34" s="949"/>
      <c r="K34" s="949"/>
      <c r="L34" s="949"/>
      <c r="M34" s="949"/>
      <c r="N34" s="949"/>
      <c r="O34" s="949"/>
      <c r="P34" s="949"/>
      <c r="Q34" s="949"/>
      <c r="R34" s="949"/>
      <c r="S34" s="949"/>
      <c r="T34" s="949"/>
      <c r="U34" s="950"/>
      <c r="AC34" s="3"/>
    </row>
    <row r="35" spans="2:29" s="48" customFormat="1" ht="15" customHeight="1" x14ac:dyDescent="0.25">
      <c r="B35" s="148" t="s">
        <v>115</v>
      </c>
      <c r="C35" s="963" t="s">
        <v>289</v>
      </c>
      <c r="D35" s="964"/>
      <c r="E35" s="965"/>
      <c r="F35" s="1020"/>
      <c r="G35" s="1021"/>
      <c r="H35" s="1022"/>
      <c r="I35" s="957" t="s">
        <v>160</v>
      </c>
      <c r="J35" s="957"/>
      <c r="K35" s="957"/>
      <c r="L35" s="957"/>
      <c r="M35" s="957"/>
      <c r="N35" s="957"/>
      <c r="O35" s="957"/>
      <c r="P35" s="957"/>
      <c r="Q35" s="957"/>
      <c r="R35" s="957"/>
      <c r="S35" s="957"/>
      <c r="T35" s="957"/>
      <c r="U35" s="957"/>
    </row>
    <row r="36" spans="2:29" s="48" customFormat="1" ht="15" customHeight="1" x14ac:dyDescent="0.25">
      <c r="B36" s="148" t="s">
        <v>115</v>
      </c>
      <c r="C36" s="963" t="s">
        <v>137</v>
      </c>
      <c r="D36" s="964"/>
      <c r="E36" s="965"/>
      <c r="F36" s="1017"/>
      <c r="G36" s="1018"/>
      <c r="H36" s="1019"/>
      <c r="I36" s="957" t="s">
        <v>390</v>
      </c>
      <c r="J36" s="959"/>
      <c r="K36" s="959"/>
      <c r="L36" s="959"/>
      <c r="M36" s="959"/>
      <c r="N36" s="959"/>
      <c r="O36" s="959"/>
      <c r="P36" s="959"/>
      <c r="Q36" s="959"/>
      <c r="R36" s="959"/>
      <c r="S36" s="959"/>
      <c r="T36" s="959"/>
      <c r="U36" s="959"/>
    </row>
    <row r="37" spans="2:29" s="48" customFormat="1" ht="15" customHeight="1" x14ac:dyDescent="0.25">
      <c r="B37" s="148" t="s">
        <v>351</v>
      </c>
      <c r="C37" s="963" t="s">
        <v>290</v>
      </c>
      <c r="D37" s="964"/>
      <c r="E37" s="965"/>
      <c r="F37" s="966" t="s">
        <v>445</v>
      </c>
      <c r="G37" s="967"/>
      <c r="H37" s="968"/>
      <c r="I37" s="957" t="s">
        <v>369</v>
      </c>
      <c r="J37" s="959"/>
      <c r="K37" s="959"/>
      <c r="L37" s="959"/>
      <c r="M37" s="959"/>
      <c r="N37" s="959"/>
      <c r="O37" s="959"/>
      <c r="P37" s="959"/>
      <c r="Q37" s="959"/>
      <c r="R37" s="959"/>
      <c r="S37" s="959"/>
      <c r="T37" s="959"/>
      <c r="U37" s="959"/>
    </row>
    <row r="38" spans="2:29" s="48" customFormat="1" ht="15" customHeight="1" x14ac:dyDescent="0.25">
      <c r="B38" s="148" t="s">
        <v>12</v>
      </c>
      <c r="C38" s="963" t="s">
        <v>357</v>
      </c>
      <c r="D38" s="964"/>
      <c r="E38" s="965"/>
      <c r="F38" s="966" t="s">
        <v>100</v>
      </c>
      <c r="G38" s="967"/>
      <c r="H38" s="968"/>
      <c r="I38" s="958" t="s">
        <v>747</v>
      </c>
      <c r="J38" s="959"/>
      <c r="K38" s="959"/>
      <c r="L38" s="959"/>
      <c r="M38" s="959"/>
      <c r="N38" s="959"/>
      <c r="O38" s="959"/>
      <c r="P38" s="959"/>
      <c r="Q38" s="959"/>
      <c r="R38" s="959"/>
      <c r="S38" s="959"/>
      <c r="T38" s="959"/>
      <c r="U38" s="959"/>
    </row>
    <row r="39" spans="2:29" s="48" customFormat="1" ht="15" customHeight="1" x14ac:dyDescent="0.25">
      <c r="B39" s="148" t="s">
        <v>13</v>
      </c>
      <c r="C39" s="963" t="s">
        <v>358</v>
      </c>
      <c r="D39" s="964"/>
      <c r="E39" s="965"/>
      <c r="F39" s="966" t="s">
        <v>100</v>
      </c>
      <c r="G39" s="967"/>
      <c r="H39" s="968"/>
      <c r="I39" s="958" t="s">
        <v>748</v>
      </c>
      <c r="J39" s="959"/>
      <c r="K39" s="959"/>
      <c r="L39" s="959"/>
      <c r="M39" s="959"/>
      <c r="N39" s="959"/>
      <c r="O39" s="959"/>
      <c r="P39" s="959"/>
      <c r="Q39" s="959"/>
      <c r="R39" s="959"/>
      <c r="S39" s="959"/>
      <c r="T39" s="959"/>
      <c r="U39" s="959"/>
    </row>
    <row r="40" spans="2:29" s="48" customFormat="1" ht="15" customHeight="1" x14ac:dyDescent="0.25">
      <c r="B40" s="148" t="s">
        <v>87</v>
      </c>
      <c r="C40" s="963" t="s">
        <v>358</v>
      </c>
      <c r="D40" s="964"/>
      <c r="E40" s="965"/>
      <c r="F40" s="966" t="s">
        <v>100</v>
      </c>
      <c r="G40" s="967"/>
      <c r="H40" s="968"/>
      <c r="I40" s="958" t="s">
        <v>749</v>
      </c>
      <c r="J40" s="959"/>
      <c r="K40" s="959"/>
      <c r="L40" s="959"/>
      <c r="M40" s="959"/>
      <c r="N40" s="959"/>
      <c r="O40" s="959"/>
      <c r="P40" s="959"/>
      <c r="Q40" s="959"/>
      <c r="R40" s="959"/>
      <c r="S40" s="959"/>
      <c r="T40" s="959"/>
      <c r="U40" s="959"/>
    </row>
    <row r="41" spans="2:29" s="48" customFormat="1" ht="15" customHeight="1" x14ac:dyDescent="0.25">
      <c r="B41" s="148" t="s">
        <v>568</v>
      </c>
      <c r="C41" s="963" t="s">
        <v>573</v>
      </c>
      <c r="D41" s="964"/>
      <c r="E41" s="965"/>
      <c r="F41" s="994" t="s">
        <v>11</v>
      </c>
      <c r="G41" s="995"/>
      <c r="H41" s="996"/>
      <c r="I41" s="960" t="s">
        <v>948</v>
      </c>
      <c r="J41" s="961"/>
      <c r="K41" s="961"/>
      <c r="L41" s="961"/>
      <c r="M41" s="961"/>
      <c r="N41" s="961"/>
      <c r="O41" s="961"/>
      <c r="P41" s="961"/>
      <c r="Q41" s="961"/>
      <c r="R41" s="961"/>
      <c r="S41" s="961"/>
      <c r="T41" s="961"/>
      <c r="U41" s="961"/>
    </row>
    <row r="42" spans="2:29" s="48" customFormat="1" ht="15" customHeight="1" x14ac:dyDescent="0.25">
      <c r="B42" s="148" t="s">
        <v>569</v>
      </c>
      <c r="C42" s="963" t="s">
        <v>395</v>
      </c>
      <c r="D42" s="964"/>
      <c r="E42" s="965"/>
      <c r="F42" s="969" t="s">
        <v>81</v>
      </c>
      <c r="G42" s="970"/>
      <c r="H42" s="971"/>
      <c r="I42" s="957" t="s">
        <v>370</v>
      </c>
      <c r="J42" s="959"/>
      <c r="K42" s="959"/>
      <c r="L42" s="959"/>
      <c r="M42" s="959"/>
      <c r="N42" s="959"/>
      <c r="O42" s="959"/>
      <c r="P42" s="959"/>
      <c r="Q42" s="959"/>
      <c r="R42" s="959"/>
      <c r="S42" s="959"/>
      <c r="T42" s="959"/>
      <c r="U42" s="959"/>
    </row>
    <row r="43" spans="2:29" s="48" customFormat="1" ht="15" customHeight="1" x14ac:dyDescent="0.25">
      <c r="B43" s="148" t="s">
        <v>568</v>
      </c>
      <c r="C43" s="963" t="s">
        <v>574</v>
      </c>
      <c r="D43" s="964"/>
      <c r="E43" s="965"/>
      <c r="F43" s="969" t="s">
        <v>81</v>
      </c>
      <c r="G43" s="970"/>
      <c r="H43" s="971"/>
      <c r="I43" s="960" t="s">
        <v>949</v>
      </c>
      <c r="J43" s="961"/>
      <c r="K43" s="961"/>
      <c r="L43" s="972"/>
      <c r="M43" s="972"/>
      <c r="N43" s="972"/>
      <c r="O43" s="972"/>
      <c r="P43" s="972"/>
      <c r="Q43" s="972"/>
      <c r="R43" s="972"/>
      <c r="S43" s="972"/>
      <c r="T43" s="972"/>
      <c r="U43" s="972"/>
    </row>
    <row r="44" spans="2:29" s="48" customFormat="1" ht="15" customHeight="1" x14ac:dyDescent="0.25">
      <c r="B44" s="148" t="s">
        <v>570</v>
      </c>
      <c r="C44" s="963" t="s">
        <v>372</v>
      </c>
      <c r="D44" s="964"/>
      <c r="E44" s="965"/>
      <c r="F44" s="969" t="s">
        <v>81</v>
      </c>
      <c r="G44" s="970"/>
      <c r="H44" s="971"/>
      <c r="I44" s="942" t="s">
        <v>229</v>
      </c>
      <c r="J44" s="943"/>
      <c r="K44" s="943"/>
      <c r="L44" s="943" t="str">
        <f>CONCATENATE("Jahre ",C20,"-",C21)</f>
        <v>Jahre 2018-2019</v>
      </c>
      <c r="M44" s="943"/>
      <c r="N44" s="943"/>
      <c r="O44" s="943"/>
      <c r="P44" s="943"/>
      <c r="Q44" s="943"/>
      <c r="R44" s="943"/>
      <c r="S44" s="943"/>
      <c r="T44" s="943"/>
      <c r="U44" s="944"/>
      <c r="V44" s="48" t="s">
        <v>76</v>
      </c>
    </row>
    <row r="45" spans="2:29" s="48" customFormat="1" ht="15" customHeight="1" x14ac:dyDescent="0.25">
      <c r="B45" s="148" t="s">
        <v>373</v>
      </c>
      <c r="C45" s="963" t="s">
        <v>375</v>
      </c>
      <c r="D45" s="964"/>
      <c r="E45" s="965"/>
      <c r="F45" s="969" t="s">
        <v>81</v>
      </c>
      <c r="G45" s="970"/>
      <c r="H45" s="971"/>
      <c r="I45" s="942" t="s">
        <v>229</v>
      </c>
      <c r="J45" s="943"/>
      <c r="K45" s="943"/>
      <c r="L45" s="943" t="str">
        <f>CONCATENATE("Jahr ",C22)</f>
        <v>Jahr 2020</v>
      </c>
      <c r="M45" s="943"/>
      <c r="N45" s="943"/>
      <c r="O45" s="943"/>
      <c r="P45" s="943"/>
      <c r="Q45" s="943"/>
      <c r="R45" s="943"/>
      <c r="S45" s="943"/>
      <c r="T45" s="943"/>
      <c r="U45" s="944"/>
    </row>
    <row r="46" spans="2:29" s="48" customFormat="1" ht="15" customHeight="1" x14ac:dyDescent="0.25">
      <c r="B46" s="148" t="s">
        <v>374</v>
      </c>
      <c r="C46" s="963" t="s">
        <v>376</v>
      </c>
      <c r="D46" s="964"/>
      <c r="E46" s="965"/>
      <c r="F46" s="969" t="s">
        <v>81</v>
      </c>
      <c r="G46" s="970"/>
      <c r="H46" s="971"/>
      <c r="I46" s="942" t="s">
        <v>229</v>
      </c>
      <c r="J46" s="943"/>
      <c r="K46" s="943"/>
      <c r="L46" s="943" t="str">
        <f>CONCATENATE("Jahr ",C23)</f>
        <v>Jahr 2021</v>
      </c>
      <c r="M46" s="943"/>
      <c r="N46" s="943"/>
      <c r="O46" s="943"/>
      <c r="P46" s="943"/>
      <c r="Q46" s="943"/>
      <c r="R46" s="943"/>
      <c r="S46" s="943"/>
      <c r="T46" s="943"/>
      <c r="U46" s="944"/>
    </row>
    <row r="47" spans="2:29" s="48" customFormat="1" ht="15" customHeight="1" x14ac:dyDescent="0.25">
      <c r="B47" s="148" t="s">
        <v>571</v>
      </c>
      <c r="C47" s="963" t="s">
        <v>377</v>
      </c>
      <c r="D47" s="964"/>
      <c r="E47" s="965"/>
      <c r="F47" s="969" t="s">
        <v>81</v>
      </c>
      <c r="G47" s="970"/>
      <c r="H47" s="971"/>
      <c r="I47" s="942" t="s">
        <v>229</v>
      </c>
      <c r="J47" s="943"/>
      <c r="K47" s="943"/>
      <c r="L47" s="943" t="str">
        <f>CONCATENATE("Jahr ",C24)</f>
        <v>Jahr 2022</v>
      </c>
      <c r="M47" s="943"/>
      <c r="N47" s="943"/>
      <c r="O47" s="943"/>
      <c r="P47" s="943"/>
      <c r="Q47" s="943"/>
      <c r="R47" s="943"/>
      <c r="S47" s="943"/>
      <c r="T47" s="943"/>
      <c r="U47" s="944"/>
    </row>
    <row r="48" spans="2:29" s="48" customFormat="1" ht="15" customHeight="1" x14ac:dyDescent="0.25">
      <c r="B48" s="148" t="s">
        <v>384</v>
      </c>
      <c r="C48" s="963" t="s">
        <v>380</v>
      </c>
      <c r="D48" s="964"/>
      <c r="E48" s="965"/>
      <c r="F48" s="969" t="s">
        <v>81</v>
      </c>
      <c r="G48" s="970"/>
      <c r="H48" s="971"/>
      <c r="I48" s="942" t="s">
        <v>387</v>
      </c>
      <c r="J48" s="943"/>
      <c r="K48" s="943"/>
      <c r="L48" s="943" t="str">
        <f>CONCATENATE("Jahr ",C20)</f>
        <v>Jahr 2018</v>
      </c>
      <c r="M48" s="943"/>
      <c r="N48" s="943"/>
      <c r="O48" s="943"/>
      <c r="P48" s="943"/>
      <c r="Q48" s="943"/>
      <c r="R48" s="943"/>
      <c r="S48" s="943"/>
      <c r="T48" s="943"/>
      <c r="U48" s="944"/>
    </row>
    <row r="49" spans="2:21" s="48" customFormat="1" ht="15" customHeight="1" x14ac:dyDescent="0.25">
      <c r="B49" s="148" t="s">
        <v>385</v>
      </c>
      <c r="C49" s="963" t="s">
        <v>381</v>
      </c>
      <c r="D49" s="964"/>
      <c r="E49" s="965"/>
      <c r="F49" s="969" t="s">
        <v>81</v>
      </c>
      <c r="G49" s="970"/>
      <c r="H49" s="971"/>
      <c r="I49" s="942" t="s">
        <v>387</v>
      </c>
      <c r="J49" s="943"/>
      <c r="K49" s="943"/>
      <c r="L49" s="943" t="str">
        <f>CONCATENATE("Jahr ",C21)</f>
        <v>Jahr 2019</v>
      </c>
      <c r="M49" s="943"/>
      <c r="N49" s="943"/>
      <c r="O49" s="943"/>
      <c r="P49" s="943"/>
      <c r="Q49" s="943"/>
      <c r="R49" s="943"/>
      <c r="S49" s="943"/>
      <c r="T49" s="943"/>
      <c r="U49" s="944"/>
    </row>
    <row r="50" spans="2:21" s="48" customFormat="1" ht="15" customHeight="1" x14ac:dyDescent="0.25">
      <c r="B50" s="148" t="s">
        <v>386</v>
      </c>
      <c r="C50" s="963" t="s">
        <v>382</v>
      </c>
      <c r="D50" s="964"/>
      <c r="E50" s="965"/>
      <c r="F50" s="969" t="s">
        <v>81</v>
      </c>
      <c r="G50" s="970"/>
      <c r="H50" s="971"/>
      <c r="I50" s="942" t="s">
        <v>387</v>
      </c>
      <c r="J50" s="943"/>
      <c r="K50" s="943"/>
      <c r="L50" s="943" t="str">
        <f>CONCATENATE("Jahr ",C22)</f>
        <v>Jahr 2020</v>
      </c>
      <c r="M50" s="943"/>
      <c r="N50" s="943"/>
      <c r="O50" s="943"/>
      <c r="P50" s="943"/>
      <c r="Q50" s="943"/>
      <c r="R50" s="943"/>
      <c r="S50" s="943"/>
      <c r="T50" s="943"/>
      <c r="U50" s="944"/>
    </row>
    <row r="51" spans="2:21" s="48" customFormat="1" ht="15" customHeight="1" x14ac:dyDescent="0.25">
      <c r="B51" s="148" t="s">
        <v>378</v>
      </c>
      <c r="C51" s="963" t="s">
        <v>383</v>
      </c>
      <c r="D51" s="964"/>
      <c r="E51" s="965"/>
      <c r="F51" s="969" t="s">
        <v>81</v>
      </c>
      <c r="G51" s="970"/>
      <c r="H51" s="971"/>
      <c r="I51" s="942" t="s">
        <v>387</v>
      </c>
      <c r="J51" s="943"/>
      <c r="K51" s="943"/>
      <c r="L51" s="943" t="str">
        <f>CONCATENATE("Jahr ",C23)</f>
        <v>Jahr 2021</v>
      </c>
      <c r="M51" s="943"/>
      <c r="N51" s="943"/>
      <c r="O51" s="943"/>
      <c r="P51" s="943"/>
      <c r="Q51" s="943"/>
      <c r="R51" s="943"/>
      <c r="S51" s="943"/>
      <c r="T51" s="943"/>
      <c r="U51" s="944"/>
    </row>
    <row r="52" spans="2:21" s="48" customFormat="1" ht="15" customHeight="1" x14ac:dyDescent="0.25">
      <c r="B52" s="148" t="s">
        <v>572</v>
      </c>
      <c r="C52" s="963" t="s">
        <v>379</v>
      </c>
      <c r="D52" s="964"/>
      <c r="E52" s="965"/>
      <c r="F52" s="969" t="s">
        <v>81</v>
      </c>
      <c r="G52" s="970"/>
      <c r="H52" s="971"/>
      <c r="I52" s="942" t="s">
        <v>509</v>
      </c>
      <c r="J52" s="943"/>
      <c r="K52" s="943"/>
      <c r="L52" s="945" t="str">
        <f>CONCATENATE("Jahr ",C24)</f>
        <v>Jahr 2022</v>
      </c>
      <c r="M52" s="945"/>
      <c r="N52" s="945"/>
      <c r="O52" s="945"/>
      <c r="P52" s="945"/>
      <c r="Q52" s="945"/>
      <c r="R52" s="945"/>
      <c r="S52" s="945"/>
      <c r="T52" s="945"/>
      <c r="U52" s="946"/>
    </row>
    <row r="55" spans="2:21" x14ac:dyDescent="0.2">
      <c r="N55" s="3" t="s">
        <v>231</v>
      </c>
    </row>
    <row r="56" spans="2:21" ht="15" x14ac:dyDescent="0.25">
      <c r="B56" s="29"/>
    </row>
    <row r="65" spans="2:23" x14ac:dyDescent="0.2">
      <c r="B65" s="71"/>
      <c r="D65" s="71"/>
      <c r="E65" s="71"/>
      <c r="F65" s="71"/>
      <c r="G65" s="71"/>
      <c r="H65" s="71"/>
      <c r="I65" s="71"/>
      <c r="J65" s="71"/>
      <c r="K65" s="71"/>
      <c r="L65" s="71"/>
      <c r="M65" s="71"/>
      <c r="N65" s="71"/>
      <c r="O65" s="71"/>
      <c r="P65" s="71"/>
      <c r="Q65" s="71"/>
      <c r="R65" s="71"/>
      <c r="S65" s="71"/>
    </row>
    <row r="66" spans="2:23" hidden="1" x14ac:dyDescent="0.2"/>
    <row r="67" spans="2:23" hidden="1" x14ac:dyDescent="0.2">
      <c r="B67" s="22" t="s">
        <v>279</v>
      </c>
    </row>
    <row r="68" spans="2:23" hidden="1" x14ac:dyDescent="0.2">
      <c r="B68" s="143" t="str">
        <f>Berechnung2!B36</f>
        <v>ART</v>
      </c>
      <c r="C68" s="141">
        <f>Berechnung2!C36</f>
        <v>0</v>
      </c>
      <c r="D68" s="141">
        <f>Berechnung2!D36</f>
        <v>0</v>
      </c>
      <c r="E68" s="141">
        <f>Berechnung2!E36</f>
        <v>0</v>
      </c>
      <c r="F68" s="141" t="str">
        <f>Berechnung2!F36</f>
        <v>Werte</v>
      </c>
      <c r="G68" s="141">
        <f>Berechnung2!G36</f>
        <v>0</v>
      </c>
      <c r="H68" s="141">
        <f>Berechnung2!H36</f>
        <v>0</v>
      </c>
      <c r="I68" s="141">
        <f>Berechnung2!I36</f>
        <v>0</v>
      </c>
      <c r="J68" s="141">
        <f>Berechnung2!J36</f>
        <v>0</v>
      </c>
      <c r="K68" s="141">
        <f>Berechnung2!K36</f>
        <v>0</v>
      </c>
      <c r="L68" s="141" t="str">
        <f>Berechnung2!L36</f>
        <v>Texte Matrix Datenquali</v>
      </c>
      <c r="M68" s="141">
        <f>Berechnung2!M36</f>
        <v>0</v>
      </c>
      <c r="N68" s="141">
        <f>Berechnung2!N36</f>
        <v>0</v>
      </c>
      <c r="O68" s="141">
        <f>Berechnung2!O36</f>
        <v>0</v>
      </c>
      <c r="P68" s="141" t="str">
        <f>Berechnung2!P36</f>
        <v>Fehlermeldungen Matrix</v>
      </c>
      <c r="Q68" s="7"/>
      <c r="R68" s="7"/>
      <c r="S68" s="7"/>
      <c r="T68" s="7"/>
      <c r="U68" s="7"/>
      <c r="V68" s="7"/>
      <c r="W68" s="7"/>
    </row>
    <row r="69" spans="2:23" hidden="1" x14ac:dyDescent="0.2">
      <c r="B69" s="142">
        <f>Berechnung2!B37</f>
        <v>0</v>
      </c>
      <c r="C69" s="141">
        <f>Berechnung2!C37</f>
        <v>0</v>
      </c>
      <c r="D69" s="141">
        <f>Berechnung2!D37</f>
        <v>0</v>
      </c>
      <c r="E69" s="141">
        <f>Berechnung2!E37</f>
        <v>0</v>
      </c>
      <c r="F69" s="141">
        <f>Berechnung2!F37</f>
        <v>0</v>
      </c>
      <c r="G69" s="141">
        <f>Berechnung2!G37</f>
        <v>0</v>
      </c>
      <c r="H69" s="141">
        <f>Berechnung2!H37</f>
        <v>0</v>
      </c>
      <c r="I69" s="141">
        <f>Berechnung2!I37</f>
        <v>0</v>
      </c>
      <c r="J69" s="141">
        <f>Berechnung2!J37</f>
        <v>0</v>
      </c>
      <c r="K69" s="141">
        <f>Berechnung2!K37</f>
        <v>0</v>
      </c>
      <c r="L69" s="141">
        <f>Berechnung2!L37</f>
        <v>0</v>
      </c>
      <c r="M69" s="141">
        <f>Berechnung2!M37</f>
        <v>0</v>
      </c>
      <c r="N69" s="141">
        <f>Berechnung2!N37</f>
        <v>0</v>
      </c>
      <c r="O69" s="141">
        <f>Berechnung2!O37</f>
        <v>0</v>
      </c>
      <c r="P69" s="141" t="str">
        <f>Berechnung2!P37</f>
        <v>Ganze Zahl zwischen 0 und 5000 eingeben.</v>
      </c>
      <c r="Q69" s="165"/>
      <c r="R69" s="7"/>
      <c r="S69" s="7"/>
      <c r="T69" s="7"/>
      <c r="U69" s="7"/>
      <c r="V69" s="7"/>
      <c r="W69" s="7"/>
    </row>
    <row r="70" spans="2:23" hidden="1" x14ac:dyDescent="0.2">
      <c r="B70" s="142">
        <f>Berechnung2!B38</f>
        <v>0</v>
      </c>
      <c r="C70" s="141">
        <f>Berechnung2!C38</f>
        <v>0</v>
      </c>
      <c r="D70" s="141" t="str">
        <f>Berechnung2!D38</f>
        <v>unvollständig</v>
      </c>
      <c r="E70" s="141">
        <f>Berechnung2!E38</f>
        <v>0</v>
      </c>
      <c r="F70" s="141">
        <f>Berechnung2!F38</f>
        <v>0</v>
      </c>
      <c r="G70" s="141">
        <f>Berechnung2!G38</f>
        <v>0</v>
      </c>
      <c r="H70" s="141">
        <f>Berechnung2!H38</f>
        <v>0</v>
      </c>
      <c r="I70" s="141">
        <f>Berechnung2!I38</f>
        <v>0</v>
      </c>
      <c r="J70" s="141">
        <f>Berechnung2!J38</f>
        <v>0</v>
      </c>
      <c r="K70" s="141">
        <f>Berechnung2!K38</f>
        <v>0</v>
      </c>
      <c r="L70" s="141" t="str">
        <f>Berechnung2!L38</f>
        <v>relevante Nachsorgejahre nicht / unvollständig bearbeitet</v>
      </c>
      <c r="M70" s="141">
        <f>Berechnung2!M38</f>
        <v>0</v>
      </c>
      <c r="N70" s="141">
        <f>Berechnung2!N38</f>
        <v>0</v>
      </c>
      <c r="O70" s="141">
        <f>Berechnung2!O38</f>
        <v>0</v>
      </c>
      <c r="P70" s="141">
        <f>Berechnung2!P38</f>
        <v>0</v>
      </c>
      <c r="Q70" s="7"/>
      <c r="R70" s="7"/>
      <c r="S70" s="7"/>
      <c r="T70" s="7"/>
      <c r="U70" s="7"/>
      <c r="V70" s="7"/>
      <c r="W70" s="7"/>
    </row>
    <row r="71" spans="2:23" hidden="1" x14ac:dyDescent="0.2">
      <c r="B71" s="142" t="str">
        <f>Berechnung2!B39</f>
        <v>zu geringe Anzahl der Primärfälle</v>
      </c>
      <c r="C71" s="141">
        <f>Berechnung2!C39</f>
        <v>0</v>
      </c>
      <c r="D71" s="141" t="str">
        <f>Berechnung2!D39</f>
        <v>plausi</v>
      </c>
      <c r="E71" s="141" t="str">
        <f>Berechnung2!E39</f>
        <v>&lt;</v>
      </c>
      <c r="F71" s="141">
        <f>Berechnung2!F39</f>
        <v>0</v>
      </c>
      <c r="G71" s="146">
        <f>Berechnung2!G39</f>
        <v>100</v>
      </c>
      <c r="H71" s="141">
        <f>Berechnung2!H39</f>
        <v>0</v>
      </c>
      <c r="I71" s="141">
        <f>Berechnung2!I39</f>
        <v>0</v>
      </c>
      <c r="J71" s="141">
        <f>Berechnung2!J39</f>
        <v>0</v>
      </c>
      <c r="K71" s="141">
        <f>Berechnung2!K39</f>
        <v>0</v>
      </c>
      <c r="L71" s="141" t="str">
        <f>Berechnung2!L39</f>
        <v>zu wenig Primärfälle angegeben</v>
      </c>
      <c r="M71" s="141">
        <f>Berechnung2!M39</f>
        <v>0</v>
      </c>
      <c r="N71" s="141">
        <f>Berechnung2!N39</f>
        <v>0</v>
      </c>
      <c r="O71" s="141">
        <f>Berechnung2!O39</f>
        <v>0</v>
      </c>
      <c r="P71" s="141">
        <f>Berechnung2!P39</f>
        <v>0</v>
      </c>
      <c r="Q71" s="7"/>
      <c r="R71" s="7"/>
      <c r="S71" s="7"/>
      <c r="T71" s="7"/>
      <c r="U71" s="7"/>
      <c r="V71" s="7"/>
      <c r="W71" s="7"/>
    </row>
    <row r="72" spans="2:23" hidden="1" x14ac:dyDescent="0.2">
      <c r="B72" s="142" t="str">
        <f>Berechnung2!B40</f>
        <v>geringe Follow-Up-Quote</v>
      </c>
      <c r="C72" s="141">
        <f>Berechnung2!C40</f>
        <v>0</v>
      </c>
      <c r="D72" s="141" t="str">
        <f>Berechnung2!D40</f>
        <v>plausi</v>
      </c>
      <c r="E72" s="141" t="str">
        <f>Berechnung2!E40</f>
        <v>&lt;</v>
      </c>
      <c r="F72" s="145">
        <f>Berechnung2!F40</f>
        <v>0</v>
      </c>
      <c r="G72" s="144">
        <f>Berechnung2!G40</f>
        <v>0</v>
      </c>
      <c r="H72" s="141">
        <f>Berechnung2!H40</f>
        <v>0</v>
      </c>
      <c r="I72" s="144">
        <f>Berechnung2!I40</f>
        <v>0.69999</v>
      </c>
      <c r="J72" s="144">
        <f>Berechnung2!J40</f>
        <v>0.69999</v>
      </c>
      <c r="K72" s="141">
        <f>Berechnung2!K40</f>
        <v>0</v>
      </c>
      <c r="L72" s="141" t="str">
        <f>Berechnung2!L40</f>
        <v>geringe Follow-Up Quote der Nachsorgejahre</v>
      </c>
      <c r="M72" s="141">
        <f>Berechnung2!M40</f>
        <v>0</v>
      </c>
      <c r="N72" s="141">
        <f>Berechnung2!N40</f>
        <v>0</v>
      </c>
      <c r="O72" s="141">
        <f>Berechnung2!O40</f>
        <v>0</v>
      </c>
      <c r="P72" s="141">
        <f>Berechnung2!P40</f>
        <v>0</v>
      </c>
      <c r="Q72" s="7"/>
      <c r="R72" s="7"/>
      <c r="S72" s="7"/>
      <c r="T72" s="7"/>
      <c r="U72" s="7"/>
      <c r="V72" s="7"/>
      <c r="W72" s="7"/>
    </row>
    <row r="73" spans="2:23" hidden="1" x14ac:dyDescent="0.2">
      <c r="B73" s="142" t="str">
        <f>Berechnung2!B41</f>
        <v>geringe Follow-Up-Quote der Jahre 2019-2021</v>
      </c>
      <c r="C73" s="141">
        <f>Berechnung2!C41</f>
        <v>0</v>
      </c>
      <c r="D73" s="141" t="str">
        <f>Berechnung2!D41</f>
        <v>sollvorgabe</v>
      </c>
      <c r="E73" s="141" t="str">
        <f>Berechnung2!E41</f>
        <v>&lt;</v>
      </c>
      <c r="F73" s="145">
        <f>Berechnung2!F41</f>
        <v>0</v>
      </c>
      <c r="G73" s="144">
        <f>Berechnung2!G41</f>
        <v>0</v>
      </c>
      <c r="H73" s="141">
        <f>Berechnung2!H41</f>
        <v>0</v>
      </c>
      <c r="I73" s="144">
        <f>Berechnung2!I41</f>
        <v>0.79998999999999998</v>
      </c>
      <c r="J73" s="144">
        <f>Berechnung2!J41</f>
        <v>0.79998999999999998</v>
      </c>
      <c r="K73" s="141">
        <f>Berechnung2!K41</f>
        <v>0</v>
      </c>
      <c r="L73" s="141" t="str">
        <f>Berechnung2!L41</f>
        <v>durchschnittliche Follow-Up-Quote &lt; 80%</v>
      </c>
      <c r="M73" s="141">
        <f>Berechnung2!M41</f>
        <v>0</v>
      </c>
      <c r="N73" s="141">
        <f>Berechnung2!N41</f>
        <v>0</v>
      </c>
      <c r="O73" s="141">
        <f>Berechnung2!O41</f>
        <v>0</v>
      </c>
      <c r="P73" s="141">
        <f>Berechnung2!P41</f>
        <v>0</v>
      </c>
      <c r="Q73" s="7"/>
      <c r="R73" s="7"/>
      <c r="S73" s="7"/>
      <c r="T73" s="7"/>
      <c r="U73" s="7"/>
      <c r="V73" s="7"/>
      <c r="W73" s="7"/>
    </row>
    <row r="74" spans="2:23" hidden="1" x14ac:dyDescent="0.2">
      <c r="B74" s="142" t="str">
        <f>Berechnung2!B42</f>
        <v>zu hohe Follow-Up-Quote der Jahre 2019-2021</v>
      </c>
      <c r="C74" s="141">
        <f>Berechnung2!C42</f>
        <v>0</v>
      </c>
      <c r="D74" s="141" t="str">
        <f>Berechnung2!D42</f>
        <v>plausi</v>
      </c>
      <c r="E74" s="141" t="str">
        <f>Berechnung2!E42</f>
        <v>&gt;</v>
      </c>
      <c r="F74" s="141">
        <f>Berechnung2!F42</f>
        <v>0</v>
      </c>
      <c r="G74" s="144">
        <f>Berechnung2!G42</f>
        <v>0</v>
      </c>
      <c r="H74" s="141">
        <f>Berechnung2!H42</f>
        <v>0.95001000000000002</v>
      </c>
      <c r="I74" s="144">
        <f>Berechnung2!I42</f>
        <v>1</v>
      </c>
      <c r="J74" s="144">
        <f>Berechnung2!J42</f>
        <v>0.95001000000000002</v>
      </c>
      <c r="K74" s="141">
        <f>Berechnung2!K42</f>
        <v>0</v>
      </c>
      <c r="L74" s="141" t="str">
        <f>Berechnung2!L42</f>
        <v>durchschnittliche Follow-Up-Quote &gt; 95%</v>
      </c>
      <c r="M74" s="141">
        <f>Berechnung2!M42</f>
        <v>0</v>
      </c>
      <c r="N74" s="141">
        <f>Berechnung2!N42</f>
        <v>0</v>
      </c>
      <c r="O74" s="141">
        <f>Berechnung2!O42</f>
        <v>0</v>
      </c>
      <c r="P74" s="141">
        <f>Berechnung2!P42</f>
        <v>0</v>
      </c>
      <c r="Q74" s="7"/>
      <c r="R74" s="7"/>
      <c r="S74" s="7"/>
      <c r="T74" s="7"/>
      <c r="U74" s="7"/>
      <c r="V74" s="7"/>
      <c r="W74" s="7"/>
    </row>
    <row r="75" spans="2:23" hidden="1" x14ac:dyDescent="0.2">
      <c r="B75" s="142" t="str">
        <f>Berechnung2!B43</f>
        <v>zu viele Patienten im Follow Up</v>
      </c>
      <c r="C75" s="141">
        <f>Berechnung2!C43</f>
        <v>0</v>
      </c>
      <c r="D75" s="141" t="str">
        <f>Berechnung2!D43</f>
        <v>inkorrekt</v>
      </c>
      <c r="E75" s="141">
        <f>Berechnung2!E43</f>
        <v>0</v>
      </c>
      <c r="F75" s="141">
        <f>Berechnung2!F43</f>
        <v>0</v>
      </c>
      <c r="G75" s="141">
        <f>Berechnung2!G43</f>
        <v>0</v>
      </c>
      <c r="H75" s="141">
        <f>Berechnung2!H43</f>
        <v>0</v>
      </c>
      <c r="I75" s="141">
        <f>Berechnung2!I43</f>
        <v>0</v>
      </c>
      <c r="J75" s="141">
        <f>Berechnung2!J43</f>
        <v>0</v>
      </c>
      <c r="K75" s="141">
        <f>Berechnung2!K43</f>
        <v>0</v>
      </c>
      <c r="L75" s="141" t="str">
        <f>Berechnung2!L43</f>
        <v>Werte Spalte F "Patienten mit Follow-Up" müssen kleiner gleich sein als Spalte D "Anzahl Primärfälle"</v>
      </c>
      <c r="M75" s="141">
        <f>Berechnung2!M43</f>
        <v>0</v>
      </c>
      <c r="N75" s="141">
        <f>Berechnung2!N43</f>
        <v>0</v>
      </c>
      <c r="O75" s="141">
        <f>Berechnung2!O43</f>
        <v>0</v>
      </c>
      <c r="P75" s="141">
        <f>Berechnung2!P43</f>
        <v>0</v>
      </c>
      <c r="Q75" s="7"/>
      <c r="R75" s="7"/>
      <c r="S75" s="7"/>
      <c r="T75" s="7"/>
      <c r="U75" s="7"/>
      <c r="V75" s="7"/>
      <c r="W75" s="7"/>
    </row>
    <row r="76" spans="2:23" hidden="1" x14ac:dyDescent="0.2">
      <c r="B76" s="142" t="str">
        <f>Berechnung2!B44</f>
        <v>zu viele Patienten bei DFS absolut</v>
      </c>
      <c r="C76" s="141">
        <f>Berechnung2!C44</f>
        <v>0</v>
      </c>
      <c r="D76" s="141" t="str">
        <f>Berechnung2!D44</f>
        <v>inkorrekt</v>
      </c>
      <c r="E76" s="141">
        <f>Berechnung2!E44</f>
        <v>0</v>
      </c>
      <c r="F76" s="141">
        <f>Berechnung2!F44</f>
        <v>0</v>
      </c>
      <c r="G76" s="141">
        <f>Berechnung2!G44</f>
        <v>0</v>
      </c>
      <c r="H76" s="141">
        <f>Berechnung2!H44</f>
        <v>0</v>
      </c>
      <c r="I76" s="141">
        <f>Berechnung2!I44</f>
        <v>0</v>
      </c>
      <c r="J76" s="141">
        <f>Berechnung2!J44</f>
        <v>0</v>
      </c>
      <c r="K76" s="141">
        <f>Berechnung2!K44</f>
        <v>0</v>
      </c>
      <c r="L76" s="141" t="str">
        <f>Berechnung2!L44</f>
        <v>Werte Spalte I "DFS absolut" müssen kleiner gleich sein als Spalte F "Patienten mit Follow-Up"</v>
      </c>
      <c r="M76" s="141">
        <f>Berechnung2!M44</f>
        <v>0</v>
      </c>
      <c r="N76" s="141">
        <f>Berechnung2!N44</f>
        <v>0</v>
      </c>
      <c r="O76" s="141">
        <f>Berechnung2!O44</f>
        <v>0</v>
      </c>
      <c r="P76" s="141">
        <f>Berechnung2!P44</f>
        <v>0</v>
      </c>
      <c r="Q76" s="7"/>
      <c r="R76" s="7"/>
      <c r="S76" s="7"/>
      <c r="T76" s="7"/>
      <c r="U76" s="7"/>
      <c r="V76" s="7"/>
      <c r="W76" s="7"/>
    </row>
    <row r="77" spans="2:23" hidden="1" x14ac:dyDescent="0.2">
      <c r="B77" s="142" t="str">
        <f>Berechnung2!B45</f>
        <v>zu viele Patienten bei OAS absolut</v>
      </c>
      <c r="C77" s="141">
        <f>Berechnung2!C45</f>
        <v>0</v>
      </c>
      <c r="D77" s="141" t="str">
        <f>Berechnung2!D45</f>
        <v>inkorrekt</v>
      </c>
      <c r="E77" s="141">
        <f>Berechnung2!E45</f>
        <v>0</v>
      </c>
      <c r="F77" s="141">
        <f>Berechnung2!F45</f>
        <v>0</v>
      </c>
      <c r="G77" s="141">
        <f>Berechnung2!G45</f>
        <v>0</v>
      </c>
      <c r="H77" s="141">
        <f>Berechnung2!H45</f>
        <v>0</v>
      </c>
      <c r="I77" s="141">
        <f>Berechnung2!I45</f>
        <v>0</v>
      </c>
      <c r="J77" s="141">
        <f>Berechnung2!J45</f>
        <v>0</v>
      </c>
      <c r="K77" s="141">
        <f>Berechnung2!K45</f>
        <v>0</v>
      </c>
      <c r="L77" s="141" t="str">
        <f>Berechnung2!L45</f>
        <v>Werte Spalte L "OAS absolut" müssen kleiner gleich sein als Spalte F "Patienten mit Follow-Up"</v>
      </c>
      <c r="M77" s="141">
        <f>Berechnung2!M45</f>
        <v>0</v>
      </c>
      <c r="N77" s="141">
        <f>Berechnung2!N45</f>
        <v>0</v>
      </c>
      <c r="O77" s="141">
        <f>Berechnung2!O45</f>
        <v>0</v>
      </c>
      <c r="P77" s="141">
        <f>Berechnung2!P45</f>
        <v>0</v>
      </c>
      <c r="Q77" s="7"/>
      <c r="R77" s="7"/>
      <c r="S77" s="7"/>
      <c r="T77" s="7"/>
      <c r="U77" s="7"/>
      <c r="V77" s="7"/>
      <c r="W77" s="7"/>
    </row>
    <row r="78" spans="2:23" hidden="1" x14ac:dyDescent="0.2">
      <c r="B78" s="142">
        <f>Berechnung2!B46</f>
        <v>0</v>
      </c>
      <c r="C78" s="141">
        <f>Berechnung2!C46</f>
        <v>0</v>
      </c>
      <c r="D78" s="141">
        <f>Berechnung2!D46</f>
        <v>0</v>
      </c>
      <c r="E78" s="141">
        <f>Berechnung2!E46</f>
        <v>0</v>
      </c>
      <c r="F78" s="141">
        <f>Berechnung2!F46</f>
        <v>0</v>
      </c>
      <c r="G78" s="141">
        <f>Berechnung2!G46</f>
        <v>0</v>
      </c>
      <c r="H78" s="141">
        <f>Berechnung2!H46</f>
        <v>0</v>
      </c>
      <c r="I78" s="141">
        <f>Berechnung2!I46</f>
        <v>0</v>
      </c>
      <c r="J78" s="141">
        <f>Berechnung2!J46</f>
        <v>0</v>
      </c>
      <c r="K78" s="141">
        <f>Berechnung2!K46</f>
        <v>0</v>
      </c>
      <c r="L78" s="141">
        <f>Berechnung2!L46</f>
        <v>0</v>
      </c>
      <c r="M78" s="141">
        <f>Berechnung2!M46</f>
        <v>0</v>
      </c>
      <c r="N78" s="141">
        <f>Berechnung2!N46</f>
        <v>0</v>
      </c>
      <c r="O78" s="141">
        <f>Berechnung2!O46</f>
        <v>0</v>
      </c>
      <c r="P78" s="141">
        <f>Berechnung2!P46</f>
        <v>0</v>
      </c>
      <c r="Q78" s="7"/>
      <c r="R78" s="7"/>
      <c r="S78" s="7"/>
      <c r="T78" s="7"/>
      <c r="U78" s="7"/>
      <c r="V78" s="7"/>
      <c r="W78" s="7"/>
    </row>
    <row r="79" spans="2:23" hidden="1" x14ac:dyDescent="0.2">
      <c r="B79" s="142" t="str">
        <f>Berechnung2!B47</f>
        <v>DFS</v>
      </c>
      <c r="C79" s="141">
        <f>Berechnung2!C47</f>
        <v>0</v>
      </c>
      <c r="D79" s="141">
        <f>Berechnung2!D47</f>
        <v>0</v>
      </c>
      <c r="E79" s="141" t="str">
        <f>Berechnung2!E47</f>
        <v>von</v>
      </c>
      <c r="F79" s="141" t="str">
        <f>Berechnung2!F47</f>
        <v>untere Grenze</v>
      </c>
      <c r="G79" s="141">
        <f>Berechnung2!G47</f>
        <v>0</v>
      </c>
      <c r="H79" s="141">
        <f>Berechnung2!H47</f>
        <v>0</v>
      </c>
      <c r="I79" s="141">
        <f>Berechnung2!I47</f>
        <v>0</v>
      </c>
      <c r="J79" s="141" t="str">
        <f>Berechnung2!J47</f>
        <v>obere Grenze</v>
      </c>
      <c r="K79" s="141">
        <f>Berechnung2!K47</f>
        <v>0</v>
      </c>
      <c r="L79" s="141" t="str">
        <f>Berechnung2!L47</f>
        <v>DFS auffällig niedrig</v>
      </c>
      <c r="M79" s="141">
        <f>Berechnung2!M47</f>
        <v>0</v>
      </c>
      <c r="N79" s="141" t="str">
        <f>Berechnung2!N47</f>
        <v>DFS auffällig hoch</v>
      </c>
      <c r="O79" s="141">
        <f>Berechnung2!O47</f>
        <v>0</v>
      </c>
      <c r="P79" s="141">
        <f>Berechnung2!P47</f>
        <v>0</v>
      </c>
      <c r="Q79" s="7"/>
      <c r="R79" s="7"/>
      <c r="S79" s="7"/>
      <c r="T79" s="7"/>
      <c r="U79" s="7"/>
      <c r="V79" s="7"/>
      <c r="W79" s="7"/>
    </row>
    <row r="80" spans="2:23" hidden="1" x14ac:dyDescent="0.2">
      <c r="B80" s="142">
        <f>Berechnung2!B48</f>
        <v>2017</v>
      </c>
      <c r="C80" s="141">
        <f>Berechnung2!C48</f>
        <v>0</v>
      </c>
      <c r="D80" s="144">
        <f>Berechnung2!D48</f>
        <v>0</v>
      </c>
      <c r="E80" s="144">
        <f>Berechnung2!E48</f>
        <v>0</v>
      </c>
      <c r="F80" s="144">
        <f>Berechnung2!F48</f>
        <v>0.49998999999999999</v>
      </c>
      <c r="G80" s="144">
        <f>Berechnung2!G48</f>
        <v>0.49998999999999999</v>
      </c>
      <c r="H80" s="141">
        <f>Berechnung2!H48</f>
        <v>0</v>
      </c>
      <c r="I80" s="144">
        <f>Berechnung2!I48</f>
        <v>0</v>
      </c>
      <c r="J80" s="144">
        <f>Berechnung2!J48</f>
        <v>0</v>
      </c>
      <c r="K80" s="141">
        <f>Berechnung2!K48</f>
        <v>0</v>
      </c>
      <c r="L80" s="141" t="str">
        <f>Berechnung2!L48</f>
        <v>DFS auffällig niedrig</v>
      </c>
      <c r="M80" s="141">
        <f>Berechnung2!M48</f>
        <v>0</v>
      </c>
      <c r="N80" s="141" t="str">
        <f>Berechnung2!N48</f>
        <v>DFS auffällig hoch</v>
      </c>
      <c r="O80" s="141">
        <f>Berechnung2!O48</f>
        <v>0</v>
      </c>
      <c r="P80" s="141">
        <f>Berechnung2!P48</f>
        <v>0</v>
      </c>
      <c r="Q80" s="7"/>
      <c r="R80" s="7"/>
      <c r="S80" s="7"/>
      <c r="T80" s="7"/>
      <c r="U80" s="7"/>
      <c r="V80" s="7"/>
      <c r="W80" s="7"/>
    </row>
    <row r="81" spans="2:23" hidden="1" x14ac:dyDescent="0.2">
      <c r="B81" s="142">
        <f>Berechnung2!B49</f>
        <v>2018</v>
      </c>
      <c r="C81" s="141">
        <f>Berechnung2!C49</f>
        <v>0</v>
      </c>
      <c r="D81" s="144">
        <f>Berechnung2!D49</f>
        <v>0</v>
      </c>
      <c r="E81" s="144">
        <f>Berechnung2!E49</f>
        <v>0</v>
      </c>
      <c r="F81" s="144">
        <f>Berechnung2!F49</f>
        <v>0.49990000000000001</v>
      </c>
      <c r="G81" s="144">
        <f>Berechnung2!G49</f>
        <v>0.49998999999999999</v>
      </c>
      <c r="H81" s="141">
        <f>Berechnung2!H49</f>
        <v>0</v>
      </c>
      <c r="I81" s="144">
        <f>Berechnung2!I49</f>
        <v>0</v>
      </c>
      <c r="J81" s="144">
        <f>Berechnung2!J49</f>
        <v>0</v>
      </c>
      <c r="K81" s="141">
        <f>Berechnung2!K49</f>
        <v>0</v>
      </c>
      <c r="L81" s="141" t="str">
        <f>Berechnung2!L49</f>
        <v>DFS auffällig niedrig</v>
      </c>
      <c r="M81" s="141">
        <f>Berechnung2!M49</f>
        <v>0</v>
      </c>
      <c r="N81" s="141" t="str">
        <f>Berechnung2!N49</f>
        <v>DFS auffällig hoch</v>
      </c>
      <c r="O81" s="141">
        <f>Berechnung2!O49</f>
        <v>0</v>
      </c>
      <c r="P81" s="141">
        <f>Berechnung2!P49</f>
        <v>0</v>
      </c>
      <c r="Q81" s="7"/>
      <c r="R81" s="7"/>
      <c r="S81" s="7"/>
      <c r="T81" s="7"/>
      <c r="U81" s="7"/>
      <c r="V81" s="7"/>
      <c r="W81" s="7"/>
    </row>
    <row r="82" spans="2:23" hidden="1" x14ac:dyDescent="0.2">
      <c r="B82" s="142">
        <f>Berechnung2!B50</f>
        <v>2019</v>
      </c>
      <c r="C82" s="141">
        <f>Berechnung2!C50</f>
        <v>0</v>
      </c>
      <c r="D82" s="144">
        <f>Berechnung2!D50</f>
        <v>0</v>
      </c>
      <c r="E82" s="144">
        <f>Berechnung2!E50</f>
        <v>0</v>
      </c>
      <c r="F82" s="144">
        <f>Berechnung2!F50</f>
        <v>0.59999000000000002</v>
      </c>
      <c r="G82" s="144">
        <f>Berechnung2!G50</f>
        <v>0.59999000000000002</v>
      </c>
      <c r="H82" s="141">
        <f>Berechnung2!H50</f>
        <v>0</v>
      </c>
      <c r="I82" s="144">
        <f>Berechnung2!I50</f>
        <v>0</v>
      </c>
      <c r="J82" s="144">
        <f>Berechnung2!J50</f>
        <v>0</v>
      </c>
      <c r="K82" s="141">
        <f>Berechnung2!K50</f>
        <v>0</v>
      </c>
      <c r="L82" s="141" t="str">
        <f>Berechnung2!L50</f>
        <v>DFS auffällig niedrig</v>
      </c>
      <c r="M82" s="141">
        <f>Berechnung2!M50</f>
        <v>0</v>
      </c>
      <c r="N82" s="141" t="str">
        <f>Berechnung2!N50</f>
        <v>DFS auffällig hoch</v>
      </c>
      <c r="O82" s="141">
        <f>Berechnung2!O50</f>
        <v>0</v>
      </c>
      <c r="P82" s="141">
        <f>Berechnung2!P50</f>
        <v>0</v>
      </c>
      <c r="Q82" s="7"/>
      <c r="R82" s="7"/>
      <c r="S82" s="7"/>
      <c r="T82" s="7"/>
      <c r="U82" s="7"/>
      <c r="V82" s="7"/>
      <c r="W82" s="7"/>
    </row>
    <row r="83" spans="2:23" hidden="1" x14ac:dyDescent="0.2">
      <c r="B83" s="142">
        <f>Berechnung2!B51</f>
        <v>2020</v>
      </c>
      <c r="C83" s="141">
        <f>Berechnung2!C51</f>
        <v>0</v>
      </c>
      <c r="D83" s="144">
        <f>Berechnung2!D51</f>
        <v>0</v>
      </c>
      <c r="E83" s="144">
        <f>Berechnung2!E51</f>
        <v>0</v>
      </c>
      <c r="F83" s="144">
        <f>Berechnung2!F51</f>
        <v>0.69999</v>
      </c>
      <c r="G83" s="144">
        <f>Berechnung2!G51</f>
        <v>0.69999</v>
      </c>
      <c r="H83" s="141">
        <f>Berechnung2!H51</f>
        <v>0</v>
      </c>
      <c r="I83" s="144">
        <f>Berechnung2!I51</f>
        <v>0</v>
      </c>
      <c r="J83" s="144">
        <f>Berechnung2!J51</f>
        <v>0</v>
      </c>
      <c r="K83" s="141">
        <f>Berechnung2!K51</f>
        <v>0</v>
      </c>
      <c r="L83" s="141" t="str">
        <f>Berechnung2!L51</f>
        <v>DFS auffällig niedrig</v>
      </c>
      <c r="M83" s="141">
        <f>Berechnung2!M51</f>
        <v>0</v>
      </c>
      <c r="N83" s="141" t="str">
        <f>Berechnung2!N51</f>
        <v>DFS auffällig hoch</v>
      </c>
      <c r="O83" s="141">
        <f>Berechnung2!O51</f>
        <v>0</v>
      </c>
      <c r="P83" s="141">
        <f>Berechnung2!P51</f>
        <v>0</v>
      </c>
      <c r="Q83" s="7"/>
      <c r="R83" s="7"/>
      <c r="S83" s="7"/>
      <c r="T83" s="7"/>
      <c r="U83" s="7"/>
      <c r="V83" s="7"/>
      <c r="W83" s="7"/>
    </row>
    <row r="84" spans="2:23" hidden="1" x14ac:dyDescent="0.2">
      <c r="B84" s="142">
        <f>Berechnung2!B52</f>
        <v>2021</v>
      </c>
      <c r="C84" s="141">
        <f>Berechnung2!C52</f>
        <v>0</v>
      </c>
      <c r="D84" s="144">
        <f>Berechnung2!D52</f>
        <v>0</v>
      </c>
      <c r="E84" s="144">
        <f>Berechnung2!E52</f>
        <v>0</v>
      </c>
      <c r="F84" s="144">
        <f>Berechnung2!F52</f>
        <v>0.79998999999999998</v>
      </c>
      <c r="G84" s="144">
        <f>Berechnung2!G52</f>
        <v>0.79998999999999998</v>
      </c>
      <c r="H84" s="141">
        <f>Berechnung2!H52</f>
        <v>0</v>
      </c>
      <c r="I84" s="144">
        <f>Berechnung2!I52</f>
        <v>0</v>
      </c>
      <c r="J84" s="144">
        <f>Berechnung2!J52</f>
        <v>0</v>
      </c>
      <c r="K84" s="141">
        <f>Berechnung2!K52</f>
        <v>0</v>
      </c>
      <c r="L84" s="141" t="str">
        <f>Berechnung2!L52</f>
        <v>DFS auffällig niedrig</v>
      </c>
      <c r="M84" s="141">
        <f>Berechnung2!M52</f>
        <v>0</v>
      </c>
      <c r="N84" s="141" t="str">
        <f>Berechnung2!N52</f>
        <v>DFS auffällig hoch</v>
      </c>
      <c r="O84" s="141">
        <f>Berechnung2!O52</f>
        <v>0</v>
      </c>
      <c r="P84" s="141">
        <f>Berechnung2!P52</f>
        <v>0</v>
      </c>
      <c r="Q84" s="7"/>
      <c r="R84" s="7"/>
      <c r="S84" s="7"/>
      <c r="T84" s="7"/>
      <c r="U84" s="7"/>
      <c r="V84" s="7"/>
      <c r="W84" s="7"/>
    </row>
    <row r="85" spans="2:23" hidden="1" x14ac:dyDescent="0.2">
      <c r="B85" s="142">
        <f>Berechnung2!B53</f>
        <v>0</v>
      </c>
      <c r="C85" s="141">
        <f>Berechnung2!C53</f>
        <v>0</v>
      </c>
      <c r="D85" s="141">
        <f>Berechnung2!D53</f>
        <v>0</v>
      </c>
      <c r="E85" s="141">
        <f>Berechnung2!E53</f>
        <v>0</v>
      </c>
      <c r="F85" s="141">
        <f>Berechnung2!F53</f>
        <v>0</v>
      </c>
      <c r="G85" s="141">
        <f>Berechnung2!G53</f>
        <v>0</v>
      </c>
      <c r="H85" s="141">
        <f>Berechnung2!H53</f>
        <v>0</v>
      </c>
      <c r="I85" s="141">
        <f>Berechnung2!I53</f>
        <v>0</v>
      </c>
      <c r="J85" s="141">
        <f>Berechnung2!J53</f>
        <v>0</v>
      </c>
      <c r="K85" s="141">
        <f>Berechnung2!K53</f>
        <v>0</v>
      </c>
      <c r="L85" s="141">
        <f>Berechnung2!L53</f>
        <v>0</v>
      </c>
      <c r="M85" s="141">
        <f>Berechnung2!M53</f>
        <v>0</v>
      </c>
      <c r="N85" s="141">
        <f>Berechnung2!N53</f>
        <v>0</v>
      </c>
      <c r="O85" s="141">
        <f>Berechnung2!O53</f>
        <v>0</v>
      </c>
      <c r="P85" s="141">
        <f>Berechnung2!P53</f>
        <v>0</v>
      </c>
      <c r="Q85" s="7"/>
      <c r="R85" s="7"/>
      <c r="S85" s="7"/>
      <c r="T85" s="7"/>
      <c r="U85" s="7"/>
      <c r="V85" s="7"/>
      <c r="W85" s="7"/>
    </row>
    <row r="86" spans="2:23" hidden="1" x14ac:dyDescent="0.2">
      <c r="B86" s="142" t="str">
        <f>Berechnung2!B54</f>
        <v>OAS</v>
      </c>
      <c r="C86" s="141">
        <f>Berechnung2!C54</f>
        <v>0</v>
      </c>
      <c r="D86" s="141">
        <f>Berechnung2!D54</f>
        <v>0</v>
      </c>
      <c r="E86" s="141">
        <f>Berechnung2!E54</f>
        <v>0</v>
      </c>
      <c r="F86" s="141" t="str">
        <f>Berechnung2!F54</f>
        <v>untere Grenze</v>
      </c>
      <c r="G86" s="141">
        <f>Berechnung2!G54</f>
        <v>0</v>
      </c>
      <c r="H86" s="141">
        <f>Berechnung2!H54</f>
        <v>0</v>
      </c>
      <c r="I86" s="141">
        <f>Berechnung2!I54</f>
        <v>0</v>
      </c>
      <c r="J86" s="141" t="str">
        <f>Berechnung2!J54</f>
        <v>obere Grenze</v>
      </c>
      <c r="K86" s="141">
        <f>Berechnung2!K54</f>
        <v>0</v>
      </c>
      <c r="L86" s="141" t="str">
        <f>Berechnung2!L54</f>
        <v>OAS auffällig niedrig oder hoch</v>
      </c>
      <c r="M86" s="141">
        <f>Berechnung2!M54</f>
        <v>0</v>
      </c>
      <c r="N86" s="141" t="str">
        <f>Berechnung2!N54</f>
        <v>OAS auffällig niedrig oder hoch</v>
      </c>
      <c r="O86" s="141">
        <f>Berechnung2!O54</f>
        <v>0</v>
      </c>
      <c r="P86" s="141">
        <f>Berechnung2!P54</f>
        <v>0</v>
      </c>
      <c r="Q86" s="7"/>
      <c r="R86" s="7"/>
      <c r="S86" s="7"/>
      <c r="T86" s="7"/>
      <c r="U86" s="7"/>
      <c r="V86" s="7"/>
      <c r="W86" s="7"/>
    </row>
    <row r="87" spans="2:23" hidden="1" x14ac:dyDescent="0.2">
      <c r="B87" s="142">
        <f>Berechnung2!B55</f>
        <v>2017</v>
      </c>
      <c r="C87" s="141">
        <f>Berechnung2!C55</f>
        <v>0</v>
      </c>
      <c r="D87" s="144">
        <f>Berechnung2!D55</f>
        <v>0</v>
      </c>
      <c r="E87" s="144">
        <f>Berechnung2!E55</f>
        <v>0</v>
      </c>
      <c r="F87" s="144">
        <f>Berechnung2!F55</f>
        <v>0.59999000000000002</v>
      </c>
      <c r="G87" s="144">
        <f>Berechnung2!G55</f>
        <v>0.59999000000000002</v>
      </c>
      <c r="H87" s="141">
        <f>Berechnung2!H55</f>
        <v>0</v>
      </c>
      <c r="I87" s="144">
        <f>Berechnung2!I55</f>
        <v>1</v>
      </c>
      <c r="J87" s="144">
        <f>Berechnung2!J55</f>
        <v>1</v>
      </c>
      <c r="K87" s="141">
        <f>Berechnung2!K55</f>
        <v>0</v>
      </c>
      <c r="L87" s="141" t="str">
        <f>Berechnung2!L55</f>
        <v>OAS auffällig niedrig oder hoch</v>
      </c>
      <c r="M87" s="141">
        <f>Berechnung2!M55</f>
        <v>0</v>
      </c>
      <c r="N87" s="141" t="str">
        <f>Berechnung2!N55</f>
        <v>OAS auffällig niedrig oder hoch</v>
      </c>
      <c r="O87" s="141">
        <f>Berechnung2!O55</f>
        <v>0</v>
      </c>
      <c r="P87" s="141">
        <f>Berechnung2!P55</f>
        <v>0</v>
      </c>
      <c r="Q87" s="7"/>
      <c r="R87" s="7"/>
      <c r="S87" s="7"/>
      <c r="T87" s="7"/>
      <c r="U87" s="7"/>
      <c r="V87" s="7"/>
      <c r="W87" s="7"/>
    </row>
    <row r="88" spans="2:23" hidden="1" x14ac:dyDescent="0.2">
      <c r="B88" s="142">
        <f>Berechnung2!B56</f>
        <v>2018</v>
      </c>
      <c r="C88" s="141">
        <f>Berechnung2!C56</f>
        <v>0</v>
      </c>
      <c r="D88" s="144">
        <f>Berechnung2!D56</f>
        <v>0</v>
      </c>
      <c r="E88" s="144">
        <f>Berechnung2!E56</f>
        <v>0</v>
      </c>
      <c r="F88" s="144">
        <f>Berechnung2!F56</f>
        <v>0.69999</v>
      </c>
      <c r="G88" s="144">
        <f>Berechnung2!G56</f>
        <v>0.69999</v>
      </c>
      <c r="H88" s="141">
        <f>Berechnung2!H56</f>
        <v>0</v>
      </c>
      <c r="I88" s="144">
        <f>Berechnung2!I56</f>
        <v>1</v>
      </c>
      <c r="J88" s="144">
        <f>Berechnung2!J56</f>
        <v>1</v>
      </c>
      <c r="K88" s="141">
        <f>Berechnung2!K56</f>
        <v>0</v>
      </c>
      <c r="L88" s="141" t="str">
        <f>Berechnung2!L56</f>
        <v>OAS auffällig niedrig oder hoch</v>
      </c>
      <c r="M88" s="141">
        <f>Berechnung2!M56</f>
        <v>0</v>
      </c>
      <c r="N88" s="141" t="str">
        <f>Berechnung2!N56</f>
        <v>OAS auffällig niedrig oder hoch</v>
      </c>
      <c r="O88" s="141">
        <f>Berechnung2!O56</f>
        <v>0</v>
      </c>
      <c r="P88" s="141">
        <f>Berechnung2!P56</f>
        <v>0</v>
      </c>
      <c r="Q88" s="7"/>
      <c r="R88" s="7"/>
      <c r="S88" s="7"/>
      <c r="T88" s="7"/>
      <c r="U88" s="7"/>
      <c r="V88" s="7"/>
      <c r="W88" s="7"/>
    </row>
    <row r="89" spans="2:23" hidden="1" x14ac:dyDescent="0.2">
      <c r="B89" s="142">
        <f>Berechnung2!B57</f>
        <v>2019</v>
      </c>
      <c r="C89" s="141">
        <f>Berechnung2!C57</f>
        <v>0</v>
      </c>
      <c r="D89" s="144">
        <f>Berechnung2!D57</f>
        <v>0</v>
      </c>
      <c r="E89" s="144">
        <f>Berechnung2!E57</f>
        <v>0</v>
      </c>
      <c r="F89" s="144">
        <f>Berechnung2!F57</f>
        <v>0.79998999999999998</v>
      </c>
      <c r="G89" s="144">
        <f>Berechnung2!G57</f>
        <v>0.79998999999999998</v>
      </c>
      <c r="H89" s="141">
        <f>Berechnung2!H57</f>
        <v>0</v>
      </c>
      <c r="I89" s="144">
        <f>Berechnung2!I57</f>
        <v>1</v>
      </c>
      <c r="J89" s="144">
        <f>Berechnung2!J57</f>
        <v>1</v>
      </c>
      <c r="K89" s="141">
        <f>Berechnung2!K57</f>
        <v>0</v>
      </c>
      <c r="L89" s="141" t="str">
        <f>Berechnung2!L57</f>
        <v>OAS auffällig niedrig oder hoch</v>
      </c>
      <c r="M89" s="141">
        <f>Berechnung2!M57</f>
        <v>0</v>
      </c>
      <c r="N89" s="141" t="str">
        <f>Berechnung2!N57</f>
        <v>OAS auffällig niedrig oder hoch</v>
      </c>
      <c r="O89" s="141">
        <f>Berechnung2!O57</f>
        <v>0</v>
      </c>
      <c r="P89" s="141">
        <f>Berechnung2!P57</f>
        <v>0</v>
      </c>
      <c r="Q89" s="7"/>
      <c r="R89" s="7"/>
      <c r="S89" s="7"/>
      <c r="T89" s="7"/>
      <c r="U89" s="7"/>
      <c r="V89" s="7"/>
      <c r="W89" s="7"/>
    </row>
    <row r="90" spans="2:23" hidden="1" x14ac:dyDescent="0.2">
      <c r="B90" s="142">
        <f>Berechnung2!B58</f>
        <v>2020</v>
      </c>
      <c r="C90" s="141">
        <f>Berechnung2!C58</f>
        <v>0</v>
      </c>
      <c r="D90" s="144">
        <f>Berechnung2!D58</f>
        <v>0</v>
      </c>
      <c r="E90" s="144">
        <f>Berechnung2!E58</f>
        <v>0</v>
      </c>
      <c r="F90" s="144">
        <f>Berechnung2!F58</f>
        <v>0.89998999999999996</v>
      </c>
      <c r="G90" s="144">
        <f>Berechnung2!G58</f>
        <v>0.89998999999999996</v>
      </c>
      <c r="H90" s="141">
        <f>Berechnung2!H58</f>
        <v>0</v>
      </c>
      <c r="I90" s="144">
        <f>Berechnung2!I58</f>
        <v>1</v>
      </c>
      <c r="J90" s="144">
        <f>Berechnung2!J58</f>
        <v>1</v>
      </c>
      <c r="K90" s="141">
        <f>Berechnung2!K58</f>
        <v>0</v>
      </c>
      <c r="L90" s="141" t="str">
        <f>Berechnung2!L58</f>
        <v>OAS auffällig niedrig oder hoch</v>
      </c>
      <c r="M90" s="141">
        <f>Berechnung2!M58</f>
        <v>0</v>
      </c>
      <c r="N90" s="141" t="str">
        <f>Berechnung2!N58</f>
        <v>OAS auffällig niedrig oder hoch</v>
      </c>
      <c r="O90" s="141">
        <f>Berechnung2!O58</f>
        <v>0</v>
      </c>
      <c r="P90" s="141">
        <f>Berechnung2!P58</f>
        <v>0</v>
      </c>
      <c r="Q90" s="7"/>
      <c r="R90" s="7"/>
      <c r="S90" s="7"/>
      <c r="T90" s="7"/>
      <c r="U90" s="7"/>
      <c r="V90" s="7"/>
      <c r="W90" s="7"/>
    </row>
    <row r="91" spans="2:23" hidden="1" x14ac:dyDescent="0.2">
      <c r="B91" s="142">
        <f>Berechnung2!B59</f>
        <v>2021</v>
      </c>
      <c r="C91" s="141">
        <f>Berechnung2!C59</f>
        <v>0</v>
      </c>
      <c r="D91" s="144">
        <f>Berechnung2!D59</f>
        <v>0</v>
      </c>
      <c r="E91" s="144">
        <f>Berechnung2!E59</f>
        <v>0</v>
      </c>
      <c r="F91" s="144">
        <f>Berechnung2!F59</f>
        <v>0.89998999999999996</v>
      </c>
      <c r="G91" s="144">
        <f>Berechnung2!G59</f>
        <v>0.89998999999999996</v>
      </c>
      <c r="H91" s="141">
        <f>Berechnung2!H59</f>
        <v>0</v>
      </c>
      <c r="I91" s="144">
        <f>Berechnung2!I59</f>
        <v>1</v>
      </c>
      <c r="J91" s="144">
        <f>Berechnung2!J59</f>
        <v>0</v>
      </c>
      <c r="K91" s="141">
        <f>Berechnung2!K59</f>
        <v>0</v>
      </c>
      <c r="L91" s="141" t="str">
        <f>Berechnung2!L59</f>
        <v xml:space="preserve">OAS auffällig niedrig </v>
      </c>
      <c r="M91" s="141">
        <f>Berechnung2!M59</f>
        <v>0</v>
      </c>
      <c r="N91" s="180" t="s">
        <v>277</v>
      </c>
      <c r="O91" s="141">
        <f>Berechnung2!O59</f>
        <v>0</v>
      </c>
      <c r="P91" s="141">
        <f>Berechnung2!P59</f>
        <v>0</v>
      </c>
      <c r="Q91" s="7"/>
      <c r="R91" s="7"/>
      <c r="S91" s="7"/>
      <c r="T91" s="7"/>
      <c r="U91" s="7"/>
      <c r="V91" s="7"/>
      <c r="W91" s="7"/>
    </row>
    <row r="92" spans="2:23" hidden="1" x14ac:dyDescent="0.2"/>
    <row r="93" spans="2:23" hidden="1" x14ac:dyDescent="0.2"/>
    <row r="98" spans="4:4" x14ac:dyDescent="0.2">
      <c r="D98" s="181"/>
    </row>
  </sheetData>
  <sheetProtection algorithmName="SHA-512" hashValue="voatXYHlYflpDjyKtTQTsuC8rY5rKKPJcXB4kj1UmK+Qk1kHbQd+05B4N6QxWludvyDpy760aSkgiEXE9o9PLg==" saltValue="stLGGxLpib9xribz3rosPA==" spinCount="100000" sheet="1" objects="1" scenarios="1"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99">
    <mergeCell ref="B29:M29"/>
    <mergeCell ref="C50:E50"/>
    <mergeCell ref="C51:E51"/>
    <mergeCell ref="F49:H49"/>
    <mergeCell ref="F50:H50"/>
    <mergeCell ref="F51:H51"/>
    <mergeCell ref="B30:U30"/>
    <mergeCell ref="C37:E37"/>
    <mergeCell ref="C41:E41"/>
    <mergeCell ref="F38:H38"/>
    <mergeCell ref="F36:H36"/>
    <mergeCell ref="F35:H35"/>
    <mergeCell ref="C38:E38"/>
    <mergeCell ref="F39:H39"/>
    <mergeCell ref="C39:E39"/>
    <mergeCell ref="C40:E40"/>
    <mergeCell ref="C8:E8"/>
    <mergeCell ref="B18:B19"/>
    <mergeCell ref="C6:M6"/>
    <mergeCell ref="K8:M8"/>
    <mergeCell ref="F37:H37"/>
    <mergeCell ref="C36:E36"/>
    <mergeCell ref="C35:E35"/>
    <mergeCell ref="G14:I14"/>
    <mergeCell ref="C34:E34"/>
    <mergeCell ref="F34:H34"/>
    <mergeCell ref="I8:J8"/>
    <mergeCell ref="C18:C19"/>
    <mergeCell ref="G18:G19"/>
    <mergeCell ref="D13:F13"/>
    <mergeCell ref="D14:F14"/>
    <mergeCell ref="F16:G16"/>
    <mergeCell ref="C52:E52"/>
    <mergeCell ref="F52:H52"/>
    <mergeCell ref="F44:H44"/>
    <mergeCell ref="F41:H41"/>
    <mergeCell ref="F42:H42"/>
    <mergeCell ref="C42:E42"/>
    <mergeCell ref="C43:E43"/>
    <mergeCell ref="C48:E48"/>
    <mergeCell ref="F48:H48"/>
    <mergeCell ref="C45:E45"/>
    <mergeCell ref="F46:H46"/>
    <mergeCell ref="F47:H47"/>
    <mergeCell ref="C46:E46"/>
    <mergeCell ref="C47:E47"/>
    <mergeCell ref="F45:H45"/>
    <mergeCell ref="C49:E49"/>
    <mergeCell ref="F18:F19"/>
    <mergeCell ref="B13:C13"/>
    <mergeCell ref="L18:L19"/>
    <mergeCell ref="M18:M19"/>
    <mergeCell ref="G13:I13"/>
    <mergeCell ref="D18:D19"/>
    <mergeCell ref="B14:C14"/>
    <mergeCell ref="H16:H24"/>
    <mergeCell ref="E16:E24"/>
    <mergeCell ref="K16:K24"/>
    <mergeCell ref="J13:K13"/>
    <mergeCell ref="J14:K14"/>
    <mergeCell ref="L16:M16"/>
    <mergeCell ref="I16:J16"/>
    <mergeCell ref="J18:J19"/>
    <mergeCell ref="F40:H40"/>
    <mergeCell ref="F43:H43"/>
    <mergeCell ref="I36:U36"/>
    <mergeCell ref="I37:U37"/>
    <mergeCell ref="I38:U38"/>
    <mergeCell ref="I39:U39"/>
    <mergeCell ref="I42:U42"/>
    <mergeCell ref="I43:U43"/>
    <mergeCell ref="B11:M11"/>
    <mergeCell ref="I47:K47"/>
    <mergeCell ref="L47:U47"/>
    <mergeCell ref="I45:K45"/>
    <mergeCell ref="L45:U45"/>
    <mergeCell ref="I46:K46"/>
    <mergeCell ref="I34:U34"/>
    <mergeCell ref="L13:M13"/>
    <mergeCell ref="L14:M14"/>
    <mergeCell ref="L46:U46"/>
    <mergeCell ref="I18:I19"/>
    <mergeCell ref="I35:U35"/>
    <mergeCell ref="I40:U40"/>
    <mergeCell ref="I41:U41"/>
    <mergeCell ref="B28:M28"/>
    <mergeCell ref="C44:E44"/>
    <mergeCell ref="I44:K44"/>
    <mergeCell ref="L44:U44"/>
    <mergeCell ref="L51:U51"/>
    <mergeCell ref="I52:K52"/>
    <mergeCell ref="L52:U52"/>
    <mergeCell ref="I48:K48"/>
    <mergeCell ref="L48:U48"/>
    <mergeCell ref="I49:K49"/>
    <mergeCell ref="L49:U49"/>
    <mergeCell ref="I50:K50"/>
    <mergeCell ref="L50:U50"/>
    <mergeCell ref="I51:K51"/>
  </mergeCells>
  <phoneticPr fontId="41" type="noConversion"/>
  <conditionalFormatting sqref="B13:C13">
    <cfRule type="expression" dxfId="84" priority="9" stopIfTrue="1">
      <formula>$B$13="Nicht in Ordnung"</formula>
    </cfRule>
  </conditionalFormatting>
  <conditionalFormatting sqref="B14:C14">
    <cfRule type="expression" dxfId="83" priority="10" stopIfTrue="1">
      <formula>$B$14="die inkorrekten und unvollständigen Einträge beheben"</formula>
    </cfRule>
  </conditionalFormatting>
  <conditionalFormatting sqref="C20:D24">
    <cfRule type="expression" dxfId="82" priority="1" stopIfTrue="1">
      <formula>OR($B20="nicht relevant",$B20="EZ")</formula>
    </cfRule>
  </conditionalFormatting>
  <conditionalFormatting sqref="C25:G25 H25:M27 D26:F26 C27:F27">
    <cfRule type="cellIs" dxfId="81" priority="175" operator="lessThan">
      <formula>0</formula>
    </cfRule>
  </conditionalFormatting>
  <conditionalFormatting sqref="D20:D22">
    <cfRule type="expression" dxfId="80" priority="2871" stopIfTrue="1">
      <formula>LEN(TRIM(D20))=0</formula>
    </cfRule>
  </conditionalFormatting>
  <conditionalFormatting sqref="D23:D24">
    <cfRule type="expression" dxfId="79" priority="2" stopIfTrue="1">
      <formula>LEN(TRIM(D23))=0</formula>
    </cfRule>
  </conditionalFormatting>
  <conditionalFormatting sqref="F20:F24">
    <cfRule type="expression" dxfId="78" priority="120" stopIfTrue="1">
      <formula>LEN(TRIM(F20))=0</formula>
    </cfRule>
    <cfRule type="cellIs" dxfId="77" priority="125" stopIfTrue="1" operator="greaterThan">
      <formula>D20</formula>
    </cfRule>
  </conditionalFormatting>
  <conditionalFormatting sqref="F20:G24">
    <cfRule type="expression" dxfId="76" priority="115" stopIfTrue="1">
      <formula>OR($B20="nicht relevant",$B20="EZ")</formula>
    </cfRule>
  </conditionalFormatting>
  <conditionalFormatting sqref="G20:G24">
    <cfRule type="expression" dxfId="75" priority="2805" stopIfTrue="1">
      <formula>LEN(TRIM(G20))=0</formula>
    </cfRule>
  </conditionalFormatting>
  <conditionalFormatting sqref="G22:G24">
    <cfRule type="cellIs" dxfId="74" priority="2804" stopIfTrue="1" operator="between">
      <formula>$F$72</formula>
      <formula>$I$72</formula>
    </cfRule>
  </conditionalFormatting>
  <conditionalFormatting sqref="G26">
    <cfRule type="cellIs" dxfId="73" priority="15" stopIfTrue="1" operator="equal">
      <formula>"---"</formula>
    </cfRule>
    <cfRule type="cellIs" dxfId="72" priority="16" stopIfTrue="1" operator="between">
      <formula>$H$74</formula>
      <formula>$I$74</formula>
    </cfRule>
    <cfRule type="cellIs" dxfId="71" priority="2553" stopIfTrue="1" operator="between">
      <formula>$F$73</formula>
      <formula>$I$73</formula>
    </cfRule>
  </conditionalFormatting>
  <conditionalFormatting sqref="I20:I24">
    <cfRule type="cellIs" dxfId="70" priority="100" stopIfTrue="1" operator="greaterThan">
      <formula>F20</formula>
    </cfRule>
    <cfRule type="expression" dxfId="69" priority="95" stopIfTrue="1">
      <formula>LEN(TRIM(I20))=0</formula>
    </cfRule>
  </conditionalFormatting>
  <conditionalFormatting sqref="I20:J24">
    <cfRule type="expression" dxfId="68" priority="90" stopIfTrue="1">
      <formula>OR($B20="nicht relevant",$B20="EZ")</formula>
    </cfRule>
  </conditionalFormatting>
  <conditionalFormatting sqref="J20">
    <cfRule type="cellIs" dxfId="67" priority="2918" stopIfTrue="1" operator="between">
      <formula>$C$80</formula>
      <formula>$F$80</formula>
    </cfRule>
    <cfRule type="expression" dxfId="66" priority="2919" stopIfTrue="1">
      <formula>LEN(TRIM(J20))=0</formula>
    </cfRule>
  </conditionalFormatting>
  <conditionalFormatting sqref="J21">
    <cfRule type="cellIs" dxfId="65" priority="2880" stopIfTrue="1" operator="between">
      <formula>$C$81</formula>
      <formula>$F$81</formula>
    </cfRule>
    <cfRule type="expression" dxfId="64" priority="2881" stopIfTrue="1">
      <formula>LEN(TRIM(J21))=0</formula>
    </cfRule>
  </conditionalFormatting>
  <conditionalFormatting sqref="J22">
    <cfRule type="cellIs" dxfId="63" priority="2822" stopIfTrue="1" operator="between">
      <formula>$C$82</formula>
      <formula>$F$82</formula>
    </cfRule>
    <cfRule type="expression" dxfId="62" priority="2823" stopIfTrue="1">
      <formula>LEN(TRIM(J22))=0</formula>
    </cfRule>
  </conditionalFormatting>
  <conditionalFormatting sqref="J23">
    <cfRule type="cellIs" dxfId="61" priority="2825" stopIfTrue="1" operator="between">
      <formula>$C$83</formula>
      <formula>$F$83</formula>
    </cfRule>
    <cfRule type="expression" dxfId="60" priority="2826" stopIfTrue="1">
      <formula>LEN(TRIM(J23))=0</formula>
    </cfRule>
  </conditionalFormatting>
  <conditionalFormatting sqref="J24">
    <cfRule type="cellIs" dxfId="59" priority="2828" stopIfTrue="1" operator="between">
      <formula>$C$84</formula>
      <formula>$F$84</formula>
    </cfRule>
    <cfRule type="expression" dxfId="58" priority="2829" stopIfTrue="1">
      <formula>LEN(TRIM(J24))=0</formula>
    </cfRule>
  </conditionalFormatting>
  <conditionalFormatting sqref="L20:L24">
    <cfRule type="expression" dxfId="57" priority="58" stopIfTrue="1">
      <formula>LEN(TRIM(L20))=0</formula>
    </cfRule>
    <cfRule type="cellIs" dxfId="56" priority="63" stopIfTrue="1" operator="greaterThan">
      <formula>F20</formula>
    </cfRule>
  </conditionalFormatting>
  <conditionalFormatting sqref="L20:M24">
    <cfRule type="expression" dxfId="55" priority="53" stopIfTrue="1">
      <formula>OR($B20="nicht relevant",$B20="EZ")</formula>
    </cfRule>
  </conditionalFormatting>
  <conditionalFormatting sqref="M20:M23">
    <cfRule type="expression" dxfId="54" priority="2944" stopIfTrue="1">
      <formula>IF(M20="","",IF(M20&gt;=0,OR(M20&lt;G87,M20&gt;=I87),FALSE))</formula>
    </cfRule>
  </conditionalFormatting>
  <conditionalFormatting sqref="M20:M24">
    <cfRule type="expression" dxfId="53" priority="2915" stopIfTrue="1">
      <formula>LEN(TRIM(M20))=0</formula>
    </cfRule>
  </conditionalFormatting>
  <conditionalFormatting sqref="M24">
    <cfRule type="cellIs" dxfId="52" priority="2916" stopIfTrue="1" operator="between">
      <formula>$C$91</formula>
      <formula>$F$91</formula>
    </cfRule>
  </conditionalFormatting>
  <dataValidations count="4">
    <dataValidation type="whole" allowBlank="1" showInputMessage="1" showErrorMessage="1" errorTitle="Eingabefehler" error="Ganze Zahl zwischen 0 und 5000 eingeben." sqref="D20:D24" xr:uid="{00000000-0002-0000-0C00-000000000000}">
      <formula1>0</formula1>
      <formula2>5000</formula2>
    </dataValidation>
    <dataValidation type="whole" showInputMessage="1" showErrorMessage="1" errorTitle="Eingabefehler" error="Werte Spalte I &quot;DFS absolut&quot; müssen kleiner sein als Spalte F &quot;Patienten mit Follow-Up&quot;." sqref="I20:I24" xr:uid="{00000000-0002-0000-0C00-000001000000}">
      <formula1>0</formula1>
      <formula2>F20</formula2>
    </dataValidation>
    <dataValidation type="whole" showInputMessage="1" showErrorMessage="1" errorTitle="Eingabefehler" error="Werte Spalte L &quot;OAS absolut&quot; müssen kleiner sein als Spalte F &quot;Patienten mit Follow-Up&quot;." sqref="L20:L24" xr:uid="{00000000-0002-0000-0C00-000002000000}">
      <formula1>0</formula1>
      <formula2>F20</formula2>
    </dataValidation>
    <dataValidation type="whole" showInputMessage="1" showErrorMessage="1" errorTitle="Eingabefehler" error="Werte Spalte F &quot;Patienten mit Follow-Up&quot; müssen kleiner sein als Spalte D &quot;Anzahl Primärfälle&quot;." sqref="F20:F24" xr:uid="{00000000-0002-0000-0C00-000003000000}">
      <formula1>0</formula1>
      <formula2>D20</formula2>
    </dataValidation>
  </dataValidations>
  <pageMargins left="0.39370078740157483" right="0.23622047244094491" top="0.59055118110236227" bottom="0.39370078740157483" header="0.11811023622047245" footer="0.11811023622047245"/>
  <pageSetup paperSize="9" scale="90" fitToHeight="0"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1" manualBreakCount="1">
    <brk id="29" max="20" man="1"/>
  </rowBreaks>
  <drawing r:id="rId4"/>
  <legacyDrawing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9"/>
  <dimension ref="A1:BK59"/>
  <sheetViews>
    <sheetView showGridLines="0" topLeftCell="A17" zoomScale="80" zoomScaleNormal="80" workbookViewId="0">
      <selection activeCell="A33" sqref="A33"/>
    </sheetView>
  </sheetViews>
  <sheetFormatPr defaultColWidth="9" defaultRowHeight="14.25" x14ac:dyDescent="0.2"/>
  <cols>
    <col min="1" max="1" width="20.7109375" style="3" customWidth="1"/>
    <col min="2" max="2" width="29.42578125" style="3" customWidth="1"/>
    <col min="3" max="3" width="34" style="3" customWidth="1"/>
    <col min="4" max="6" width="29.42578125" style="3" customWidth="1"/>
    <col min="7" max="7" width="29.42578125" style="12" customWidth="1"/>
    <col min="8" max="8" width="28.5703125" style="21" customWidth="1"/>
    <col min="9" max="9" width="29.7109375" style="21" customWidth="1"/>
    <col min="10" max="10" width="63.140625" style="3" customWidth="1"/>
    <col min="11" max="11" width="29.85546875" style="3" customWidth="1"/>
    <col min="12" max="12" width="32.85546875" style="3" customWidth="1"/>
    <col min="13" max="13" width="27.5703125" style="3" customWidth="1"/>
    <col min="14" max="14" width="41.42578125" style="3" customWidth="1"/>
    <col min="15" max="15" width="21.42578125" style="3" customWidth="1"/>
    <col min="16" max="16" width="42.85546875" style="3" customWidth="1"/>
    <col min="17" max="17" width="41.140625" style="3" customWidth="1"/>
    <col min="18" max="18" width="27.5703125" style="3" customWidth="1"/>
    <col min="19" max="19" width="21.7109375" style="3" customWidth="1"/>
    <col min="20" max="20" width="19.7109375" style="3" customWidth="1"/>
    <col min="21" max="21" width="18.7109375" style="3" customWidth="1"/>
    <col min="22" max="160" width="11.42578125" style="3" customWidth="1"/>
    <col min="161" max="16384" width="9" style="3"/>
  </cols>
  <sheetData>
    <row r="1" spans="1:62" x14ac:dyDescent="0.2">
      <c r="G1" s="3"/>
      <c r="H1" s="3"/>
      <c r="I1" s="3"/>
    </row>
    <row r="2" spans="1:62" s="23" customFormat="1" ht="20.25" customHeight="1" x14ac:dyDescent="0.25">
      <c r="A2" s="16" t="s">
        <v>107</v>
      </c>
      <c r="AI2" s="21"/>
      <c r="BI2" s="3"/>
      <c r="BJ2" s="12"/>
    </row>
    <row r="3" spans="1:62" ht="14.25" customHeight="1" x14ac:dyDescent="0.2">
      <c r="AI3" s="21"/>
      <c r="BJ3" s="12"/>
    </row>
    <row r="4" spans="1:62" x14ac:dyDescent="0.2">
      <c r="G4" s="3"/>
      <c r="H4" s="3"/>
      <c r="I4" s="3"/>
      <c r="AI4" s="21"/>
      <c r="BJ4" s="12"/>
    </row>
    <row r="5" spans="1:62" ht="15" customHeight="1" x14ac:dyDescent="0.2">
      <c r="B5" s="72" t="s">
        <v>98</v>
      </c>
      <c r="C5" s="34" t="s">
        <v>81</v>
      </c>
      <c r="D5" s="33" t="s">
        <v>11</v>
      </c>
      <c r="E5" s="73" t="s">
        <v>100</v>
      </c>
      <c r="F5" s="74" t="s">
        <v>102</v>
      </c>
      <c r="G5" s="3"/>
      <c r="H5" s="3"/>
      <c r="I5" s="3"/>
      <c r="AI5" s="30"/>
      <c r="BH5" s="23"/>
      <c r="BI5" s="10"/>
    </row>
    <row r="6" spans="1:62" ht="28.5" customHeight="1" x14ac:dyDescent="0.2">
      <c r="B6" s="130" t="str">
        <f>IF(AND(E6=0,F6=0,Berechnung3!A6="relevant"),B8,IF(OR(Berechnung3!A6="nicht relevant",Berechnung3!A6="EZ"),"",B9))</f>
        <v/>
      </c>
      <c r="C6" s="64">
        <f>Berechnung3!J47</f>
        <v>0</v>
      </c>
      <c r="D6" s="65">
        <f>Berechnung3!J48</f>
        <v>0</v>
      </c>
      <c r="E6" s="131">
        <f>Berechnung3!J46</f>
        <v>0</v>
      </c>
      <c r="F6" s="132">
        <f>Berechnung3!J45</f>
        <v>0</v>
      </c>
      <c r="G6" s="3"/>
      <c r="H6" s="3"/>
      <c r="I6" s="3"/>
      <c r="AI6" s="30"/>
    </row>
    <row r="7" spans="1:62" x14ac:dyDescent="0.2">
      <c r="G7" s="3"/>
      <c r="H7" s="3"/>
      <c r="I7" s="3"/>
      <c r="AI7" s="30"/>
    </row>
    <row r="8" spans="1:62" ht="15" x14ac:dyDescent="0.25">
      <c r="A8" s="29" t="s">
        <v>122</v>
      </c>
      <c r="B8" s="3" t="s">
        <v>140</v>
      </c>
      <c r="G8" s="3"/>
      <c r="H8" s="3"/>
      <c r="I8" s="3"/>
      <c r="AI8" s="21"/>
    </row>
    <row r="9" spans="1:62" x14ac:dyDescent="0.2">
      <c r="B9" s="3" t="s">
        <v>159</v>
      </c>
      <c r="G9" s="3"/>
      <c r="H9" s="3"/>
      <c r="I9" s="3"/>
      <c r="AI9" s="21"/>
    </row>
    <row r="10" spans="1:62" x14ac:dyDescent="0.2">
      <c r="G10" s="3"/>
      <c r="H10" s="3"/>
      <c r="I10" s="3"/>
      <c r="AI10" s="21"/>
    </row>
    <row r="11" spans="1:62" ht="15.75" x14ac:dyDescent="0.25">
      <c r="A11" s="21"/>
      <c r="B11" s="16" t="s">
        <v>128</v>
      </c>
      <c r="G11" s="3"/>
      <c r="H11" s="3"/>
      <c r="I11" s="3"/>
      <c r="AI11" s="21"/>
    </row>
    <row r="12" spans="1:62" x14ac:dyDescent="0.2">
      <c r="A12" s="21"/>
      <c r="G12" s="3"/>
      <c r="H12" s="3"/>
      <c r="I12" s="3"/>
      <c r="AI12" s="21"/>
    </row>
    <row r="13" spans="1:62" x14ac:dyDescent="0.2">
      <c r="A13" s="21"/>
      <c r="B13" s="1030" t="s">
        <v>116</v>
      </c>
      <c r="C13" s="1032" t="s">
        <v>130</v>
      </c>
      <c r="D13" s="1028" t="s">
        <v>62</v>
      </c>
      <c r="E13" s="1023" t="s">
        <v>420</v>
      </c>
      <c r="G13" s="3"/>
      <c r="H13" s="3"/>
      <c r="I13" s="3"/>
      <c r="AI13" s="21"/>
    </row>
    <row r="14" spans="1:62" ht="15" customHeight="1" x14ac:dyDescent="0.25">
      <c r="A14" s="30"/>
      <c r="B14" s="1031"/>
      <c r="C14" s="1033"/>
      <c r="D14" s="1029"/>
      <c r="E14" s="1024"/>
      <c r="F14" s="23"/>
      <c r="G14" s="23"/>
      <c r="H14" s="23"/>
      <c r="I14" s="140" t="s">
        <v>420</v>
      </c>
      <c r="J14" s="201" t="s">
        <v>433</v>
      </c>
      <c r="AI14" s="21"/>
    </row>
    <row r="15" spans="1:62" ht="38.1" customHeight="1" x14ac:dyDescent="0.2">
      <c r="A15" s="8" t="s">
        <v>127</v>
      </c>
      <c r="B15" s="32" t="str">
        <f>CONCATENATE(IF(Berechnung3!$H$2=Berechnung2!$L$38,Berechnung3!$B$2,""),IF(Berechnung3!$H$3=Berechnung2!$L$38,Berechnung3!$B$3,""),IF(Berechnung3!$H$4=Berechnung2!$L$38,Berechnung3!$B$4,""),IF(Berechnung3!$H$5=Berechnung2!$L$38,Berechnung3!$B$5,""),IF(Berechnung3!$H$6=Berechnung2!$L$38,Berechnung3!$B$6,""))</f>
        <v/>
      </c>
      <c r="C15" s="32">
        <f>IF(LEN(B15)&gt;0,"X",0)</f>
        <v>0</v>
      </c>
      <c r="D15" s="31" t="str">
        <f>IF(COUNTIF(Berechnung3!$H$2:$H$6,Berechnung2!$L$38)&gt;0,CONCATENATE(Berechnung1!$F$4,"                                             ",Berechnung2!$L$38),"")</f>
        <v/>
      </c>
      <c r="E15" s="31" t="str">
        <f>IF(COUNTIF(Berechnung3!$H$2:$H$6,Berechnung2!$L$38)&gt;0,"a","")</f>
        <v/>
      </c>
      <c r="G15" s="49" t="e">
        <f t="array" ref="G15">INDEX(B:B,SMALL(IF($C$15:$C$25="X",ROW($15:$25)),1))</f>
        <v>#NUM!</v>
      </c>
      <c r="H15" s="185" t="e">
        <f t="array" ref="H15">INDEX(D:D,SMALL(IF($C$15:$C$25="X",ROW($15:$25)),1))</f>
        <v>#NUM!</v>
      </c>
      <c r="I15" s="148" t="e">
        <f t="array" ref="I15">INDEX(E:E,SMALL(IF($C$15:$C$25="X",ROW($15:$25)),1))</f>
        <v>#NUM!</v>
      </c>
      <c r="J15" s="242" t="e">
        <f>IF(AND(Datendefizite_Matrix!D16="",I15&lt;&gt;""),"Anmerkung OnkoZert : Keine Erläuterung vorhanden",Datendefizite_Matrix!D16)</f>
        <v>#NUM!</v>
      </c>
      <c r="AJ15" s="21"/>
    </row>
    <row r="16" spans="1:62" ht="53.25" customHeight="1" x14ac:dyDescent="0.2">
      <c r="A16" s="133" t="s">
        <v>354</v>
      </c>
      <c r="B16" s="32" t="str">
        <f>CONCATENATE(IF(Berechnung3!$H$7=Berechnung2!$L$43,Berechnung3!$B$2,""),IF(Berechnung3!$H$8=Berechnung2!$L$43,Berechnung3!$B$3,""),IF(Berechnung3!$H$9=Berechnung2!$L$43,Berechnung3!$B$4,""),IF(Berechnung3!$H$10=Berechnung2!$L$43,Berechnung3!$B$5,""),IF(Berechnung3!$H$11=Berechnung2!$L$43,Berechnung3!$B$6,""))</f>
        <v/>
      </c>
      <c r="C16" s="32">
        <f>IF(LEN(B16)&gt;0,"X",0)</f>
        <v>0</v>
      </c>
      <c r="D16" s="31" t="str">
        <f>IF(COUNTIF(Berechnung3!$H$7:$H$11,Berechnung2!$L$43)&gt;0,CONCATENATE(Berechnung2!$E$5,"- ",Berechnung2!$L$43),"")</f>
        <v/>
      </c>
      <c r="E16" s="31" t="str">
        <f>IF(COUNTIF(Berechnung3!$H$7:$H$11,Berechnung2!$L$43)&gt;0,"b","")</f>
        <v/>
      </c>
      <c r="G16" s="49" t="e">
        <f t="array" ref="G16">INDEX(B:B,SMALL(IF($C$15:$C$25="X",ROW($15:$25)),2))</f>
        <v>#NUM!</v>
      </c>
      <c r="H16" s="185" t="e">
        <f t="array" ref="H16">INDEX(D:D,SMALL(IF($C$15:$C$25="X",ROW($15:$25)),2))</f>
        <v>#NUM!</v>
      </c>
      <c r="I16" s="148" t="e">
        <f t="array" ref="I16">INDEX(E:E,SMALL(IF($C$15:$C$25="X",ROW($15:$25)),2))</f>
        <v>#NUM!</v>
      </c>
      <c r="J16" s="242" t="e">
        <f>IF(AND(Datendefizite_Matrix!D17="",I16&lt;&gt;""),"Anmerkung OnkoZert : Keine Erläuterung vorhanden",Datendefizite_Matrix!D17)</f>
        <v>#NUM!</v>
      </c>
      <c r="AJ16" s="21"/>
    </row>
    <row r="17" spans="1:63" ht="38.1" customHeight="1" x14ac:dyDescent="0.2">
      <c r="A17" s="133" t="s">
        <v>355</v>
      </c>
      <c r="B17" s="32" t="str">
        <f>CONCATENATE(IF(Berechnung3!$H$12=Berechnung2!$L$44,Berechnung3!$B$2,""),IF(Berechnung3!$H$13=Berechnung2!$L$44,Berechnung3!$B$3,""),IF(Berechnung3!$H$14=Berechnung2!$L$44,Berechnung3!$B$4,""),IF(Berechnung3!$H$15=Berechnung2!$L$44,Berechnung3!$B$5,""),IF(Berechnung3!$H$16=Berechnung2!$L$44,Berechnung3!$B$6,""))</f>
        <v/>
      </c>
      <c r="C17" s="32">
        <f>IF(LEN(B17)&gt;0,"X",0)</f>
        <v>0</v>
      </c>
      <c r="D17" s="31" t="str">
        <f>IF(COUNTIF(Berechnung3!$H$12:$H$16,Berechnung2!$L$44)&gt;0,CONCATENATE(Berechnung2!$E$5,"- ",Berechnung2!$L$44),"")</f>
        <v/>
      </c>
      <c r="E17" s="31" t="str">
        <f>IF(COUNTIF(Berechnung3!$H$12:$H$16,Berechnung2!$L$44)&gt;0,"c","")</f>
        <v/>
      </c>
      <c r="G17" s="49" t="e">
        <f t="array" ref="G17">INDEX(B:B,SMALL(IF($C$15:$C$25="X",ROW($15:$25)),3))</f>
        <v>#NUM!</v>
      </c>
      <c r="H17" s="185" t="e">
        <f t="array" ref="H17">INDEX(D:D,SMALL(IF($C$15:$C$25="X",ROW($15:$25)),3))</f>
        <v>#NUM!</v>
      </c>
      <c r="I17" s="148" t="e">
        <f t="array" ref="I17">INDEX(E:E,SMALL(IF($C$15:$C$25="X",ROW($15:$25)),3))</f>
        <v>#NUM!</v>
      </c>
      <c r="J17" s="242" t="e">
        <f>IF(AND(Datendefizite_Matrix!D18="",I17&lt;&gt;""),"Anmerkung OnkoZert : Keine Erläuterung vorhanden",Datendefizite_Matrix!D18)</f>
        <v>#NUM!</v>
      </c>
      <c r="AJ17" s="21"/>
    </row>
    <row r="18" spans="1:63" ht="39.75" customHeight="1" x14ac:dyDescent="0.2">
      <c r="A18" s="133" t="s">
        <v>356</v>
      </c>
      <c r="B18" s="32" t="str">
        <f>CONCATENATE(IF(Berechnung3!$H$17=Berechnung2!$L$45,Berechnung3!$B$2,""),IF(Berechnung3!$H$18=Berechnung2!$L$45,Berechnung3!$B$3,""),IF(Berechnung3!$H$19=Berechnung2!$L$45,Berechnung3!$B$4,""),IF(Berechnung3!$H$20=Berechnung2!$L$45,Berechnung3!$B$5,""),IF(Berechnung3!$H$21=Berechnung2!$L$45,Berechnung3!$B$6,""))</f>
        <v/>
      </c>
      <c r="C18" s="32">
        <f>IF(LEN(B18)&gt;0,"X",0)</f>
        <v>0</v>
      </c>
      <c r="D18" s="31" t="str">
        <f>IF(COUNTIF(Berechnung3!$H$17:$H$21,Berechnung2!$L$45)&gt;0,CONCATENATE(Berechnung2!$E$5,"- ",Berechnung2!$L$45),"")</f>
        <v/>
      </c>
      <c r="E18" s="31" t="str">
        <f>IF(COUNTIF(Berechnung3!$H$17:$H$21,Berechnung2!$L$45)&gt;0,"d","")</f>
        <v/>
      </c>
      <c r="G18" s="49" t="e">
        <f t="array" ref="G18">INDEX(B:B,SMALL(IF($C$15:$C$25="X",ROW($15:$25)),4))</f>
        <v>#NUM!</v>
      </c>
      <c r="H18" s="185" t="e">
        <f t="array" ref="H18">INDEX(D:D,SMALL(IF($C$15:$C$25="X",ROW($15:$25)),4))</f>
        <v>#NUM!</v>
      </c>
      <c r="I18" s="148" t="e">
        <f t="array" ref="I18">INDEX(E:E,SMALL(IF($C$15:$C$25="X",ROW($15:$25)),4))</f>
        <v>#NUM!</v>
      </c>
      <c r="J18" s="242" t="e">
        <f>IF(AND(Datendefizite_Matrix!D19="",I18&lt;&gt;""),"Anmerkung OnkoZert : Keine Erläuterung vorhanden",Datendefizite_Matrix!D19)</f>
        <v>#NUM!</v>
      </c>
      <c r="AJ18" s="21"/>
    </row>
    <row r="19" spans="1:63" ht="49.5" customHeight="1" x14ac:dyDescent="0.2">
      <c r="A19" s="8" t="s">
        <v>3</v>
      </c>
      <c r="B19" s="32" t="s">
        <v>950</v>
      </c>
      <c r="C19" s="32">
        <f>IF(LEN(D19)&gt;0,"X",0)</f>
        <v>0</v>
      </c>
      <c r="D19" s="31" t="str">
        <f>IF(COUNTIF(Berechnung3!$H$22,Berechnung2!$L$41)&gt;0,CONCATENATE(Berechnung1!$E$4,"                                     ",Berechnung2!$L$41),"")</f>
        <v/>
      </c>
      <c r="E19" s="31" t="str">
        <f>IF(COUNTIF(Berechnung3!$H$22,Berechnung2!$L$41)&gt;0,"e","")</f>
        <v/>
      </c>
      <c r="G19" s="49" t="e">
        <f t="array" ref="G19">INDEX(B:B,SMALL(IF($C$15:$C$25="X",ROW($15:$25)),5))</f>
        <v>#NUM!</v>
      </c>
      <c r="H19" s="185" t="e">
        <f t="array" ref="H19">INDEX(D:D,SMALL(IF($C$15:$C$25="X",ROW($15:$25)),5))</f>
        <v>#NUM!</v>
      </c>
      <c r="I19" s="148" t="e">
        <f t="array" ref="I19">INDEX(E:E,SMALL(IF($C$15:$C$25="X",ROW($15:$25)),5))</f>
        <v>#NUM!</v>
      </c>
      <c r="J19" s="242" t="e">
        <f>IF(AND(Datendefizite_Matrix!D20="",I19&lt;&gt;""),"Anmerkung OnkoZert : Keine Erläuterung vorhanden",Datendefizite_Matrix!D20)</f>
        <v>#NUM!</v>
      </c>
      <c r="AJ19" s="21"/>
      <c r="BK19" s="1"/>
    </row>
    <row r="20" spans="1:63" ht="38.1" customHeight="1" x14ac:dyDescent="0.2">
      <c r="A20" s="133" t="s">
        <v>223</v>
      </c>
      <c r="B20" s="32" t="str">
        <f>CONCATENATE(IF(Berechnung3!$H$23=Berechnung2!$L$39,Berechnung3!$B$2,""),IF(Berechnung3!$H$24=Berechnung2!$L$39,Berechnung3!$B$3,""),IF(Berechnung3!$H$25=Berechnung2!$L$39,Berechnung3!$B$4,""),IF(Berechnung3!$H$26=Berechnung2!$L$39,Berechnung3!$B$5,""),IF(Berechnung3!$H$27=Berechnung2!$L$39,Berechnung3!$B$6,""))</f>
        <v/>
      </c>
      <c r="C20" s="32">
        <f>IF(LEN(B20)&gt;0,"X",0)</f>
        <v>0</v>
      </c>
      <c r="D20" s="31" t="str">
        <f>IF(COUNTIF(Berechnung3!$H$23:$H$27,Berechnung2!$L$39)&gt;0,CONCATENATE(Berechnung1!$D$3,"                                                     ",Berechnung2!$L$39),"")</f>
        <v/>
      </c>
      <c r="E20" s="31" t="str">
        <f>IF(COUNTIF(Berechnung3!$H$23:$H$27,Berechnung2!$L$39)&gt;0,"f","")</f>
        <v/>
      </c>
      <c r="G20" s="49" t="e">
        <f t="array" ref="G20">INDEX(B:B,SMALL(IF($C$15:$C$25="X",ROW($15:$25)),6))</f>
        <v>#NUM!</v>
      </c>
      <c r="H20" s="185" t="e">
        <f t="array" ref="H20">INDEX(D:D,SMALL(IF($C$15:$C$25="X",ROW($15:$25)),6))</f>
        <v>#NUM!</v>
      </c>
      <c r="I20" s="148" t="e">
        <f t="array" ref="I20">INDEX(E:E,SMALL(IF($C$15:$C$25="X",ROW($15:$25)),6))</f>
        <v>#NUM!</v>
      </c>
      <c r="J20" s="242" t="e">
        <f>IF(AND(Datendefizite_Matrix!D21="",I20&lt;&gt;""),"Anmerkung OnkoZert : Keine Erläuterung vorhanden",Datendefizite_Matrix!D21)</f>
        <v>#NUM!</v>
      </c>
      <c r="AJ20" s="21"/>
    </row>
    <row r="21" spans="1:63" ht="38.1" customHeight="1" x14ac:dyDescent="0.2">
      <c r="A21" s="8"/>
      <c r="B21" s="32" t="s">
        <v>950</v>
      </c>
      <c r="C21" s="32">
        <f>IF(LEN(D21)&gt;0,"X",0)</f>
        <v>0</v>
      </c>
      <c r="D21" s="31" t="str">
        <f>IF(COUNTIF(Berechnung3!$H$28,Berechnung2!$L$42),CONCATENATE(Berechnung2!$C$5,"                                     ",Berechnung2!$L$42),"")</f>
        <v/>
      </c>
      <c r="E21" s="31" t="str">
        <f>IF(COUNTIF(Berechnung3!$H$28,Berechnung2!$L$42)&gt;0,"g","")</f>
        <v/>
      </c>
      <c r="G21" s="49" t="e">
        <f t="array" ref="G21">INDEX(B:B,SMALL(IF($C$15:$C$25="X",ROW($15:$25)),7))</f>
        <v>#NUM!</v>
      </c>
      <c r="H21" s="185" t="e">
        <f t="array" ref="H21">INDEX(D:D,SMALL(IF($C$15:$C$25="X",ROW($15:$25)),7))</f>
        <v>#NUM!</v>
      </c>
      <c r="I21" s="148" t="e">
        <f t="array" ref="I21">INDEX(E:E,SMALL(IF($C$15:$C$25="X",ROW($15:$25)),7))</f>
        <v>#NUM!</v>
      </c>
      <c r="J21" s="242" t="e">
        <f>IF(AND(Datendefizite_Matrix!D22="",I21&lt;&gt;""),"Anmerkung OnkoZert : Keine Erläuterung vorhanden",Datendefizite_Matrix!D22)</f>
        <v>#NUM!</v>
      </c>
      <c r="AJ21" s="21"/>
    </row>
    <row r="22" spans="1:63" ht="38.1" customHeight="1" x14ac:dyDescent="0.2">
      <c r="A22" s="8" t="s">
        <v>228</v>
      </c>
      <c r="B22" s="32" t="str">
        <f>CONCATENATE(IF(Berechnung3!$H$29=Berechnung2!L40,Berechnung3!$B$2,""),IF(Berechnung3!$H$30=Berechnung2!L40,Berechnung3!$B$3,""),IF(Berechnung3!$H$31=Berechnung2!L40,Berechnung3!$B$4,""),IF(Berechnung3!$H$32=Berechnung2!L40,Berechnung3!$B$5,""),IF(Berechnung3!$H$33=Berechnung2!L40,Berechnung3!$B$6,""))</f>
        <v/>
      </c>
      <c r="C22" s="32">
        <f>IF(LEN(B22)&gt;0,"X",0)</f>
        <v>0</v>
      </c>
      <c r="D22" s="31" t="str">
        <f>IF(COUNTIF(Berechnung3!H29:H33,Berechnung2!$L$40)&gt;0,CONCATENATE(Berechnung1!$D$3,"                                                     ",Berechnung2!$L$40),"")</f>
        <v/>
      </c>
      <c r="E22" s="31" t="str">
        <f>IF(COUNTIF(Berechnung3!H29:H33,Berechnung2!$L$40)&gt;0,"h","")</f>
        <v/>
      </c>
      <c r="G22" s="49" t="e">
        <f t="array" ref="G22">INDEX(B:B,SMALL(IF($C$15:$C$25="X",ROW($15:$25)),8))</f>
        <v>#NUM!</v>
      </c>
      <c r="H22" s="185" t="e">
        <f t="array" ref="H22">INDEX(D:D,SMALL(IF($C$15:$C$25="X",ROW($15:$25)),8))</f>
        <v>#NUM!</v>
      </c>
      <c r="I22" s="148" t="e">
        <f t="array" ref="I22">INDEX(E:E,SMALL(IF($C$15:$C$25="X",ROW($15:$25)),8))</f>
        <v>#NUM!</v>
      </c>
      <c r="J22" s="242" t="e">
        <f>IF(AND(Datendefizite_Matrix!D23="",I22&lt;&gt;""),"Anmerkung OnkoZert : Keine Erläuterung vorhanden",Datendefizite_Matrix!D23)</f>
        <v>#NUM!</v>
      </c>
      <c r="AJ22" s="21"/>
      <c r="BK22" s="12"/>
    </row>
    <row r="23" spans="1:63" ht="38.1" customHeight="1" x14ac:dyDescent="0.2">
      <c r="A23" s="8" t="s">
        <v>278</v>
      </c>
      <c r="B23" s="32" t="str">
        <f>CONCATENATE(IF(Berechnung3!$H$34=Berechnung2!$L$47,Berechnung3!$B$2,""),IF(Berechnung3!$H$35=Berechnung2!$L$47,Berechnung3!$B$3,""),IF(Berechnung3!$H$36=Berechnung2!$L$47,Berechnung3!$B$4,""),IF(Berechnung3!$H$37=Berechnung2!$L$47,Berechnung3!$B$5,""),IF(Berechnung3!$H$38=Berechnung2!$L$47,Berechnung3!$B$6,""))</f>
        <v/>
      </c>
      <c r="C23" s="32">
        <f>IF(LEN(B23)&gt;0,"X",0)</f>
        <v>0</v>
      </c>
      <c r="D23" s="31" t="str">
        <f>IF(COUNTIF(Berechnung3!$H$34:$H$38,Berechnung2!$L$47)&gt;0,CONCATENATE(Berechnung1!$D$3,"                                     ",Berechnung2!$L$47),"")</f>
        <v/>
      </c>
      <c r="E23" s="31" t="str">
        <f>IF(COUNTIF(Berechnung3!$H$34:$H$38,Berechnung2!$L$47)&gt;0,"i","")</f>
        <v/>
      </c>
      <c r="G23" s="49" t="e">
        <f t="array" ref="G23">INDEX(B:B,SMALL(IF($C$15:$C$25="X",ROW($15:$25)),9))</f>
        <v>#NUM!</v>
      </c>
      <c r="H23" s="185" t="e">
        <f t="array" ref="H23">INDEX(D:D,SMALL(IF($C$15:$C$25="X",ROW($15:$25)),9))</f>
        <v>#NUM!</v>
      </c>
      <c r="I23" s="148" t="e">
        <f t="array" ref="I23">INDEX(E:E,SMALL(IF($C$15:$C$25="X",ROW($15:$25)),9))</f>
        <v>#NUM!</v>
      </c>
      <c r="J23" s="242" t="e">
        <f>IF(AND(Datendefizite_Matrix!D24="",I23&lt;&gt;""),"Anmerkung OnkoZert : Keine Erläuterung vorhanden",Datendefizite_Matrix!D24)</f>
        <v>#NUM!</v>
      </c>
    </row>
    <row r="24" spans="1:63" ht="38.1" customHeight="1" x14ac:dyDescent="0.2">
      <c r="A24" s="8" t="s">
        <v>388</v>
      </c>
      <c r="B24" s="32" t="str">
        <f>CONCATENATE(IF(Berechnung3!$H$39=Berechnung2!$L$54,Berechnung3!$B$2,""),IF(Berechnung3!$H$40=Berechnung2!$L$54,Berechnung3!$B$3,""),IF(Berechnung3!$H$41=Berechnung2!$L$54,Berechnung3!$B$4,""),IF(Berechnung3!$H$42=Berechnung2!$L$54,Berechnung3!$B$5,""))</f>
        <v/>
      </c>
      <c r="C24" s="32">
        <f>IF(LEN(B24)&gt;0,"X",0)</f>
        <v>0</v>
      </c>
      <c r="D24" s="31" t="str">
        <f>IF(COUNTIF(Berechnung3!$H$39:$H$43,Berechnung2!$L$54)&gt;0,CONCATENATE(Berechnung1!$D$3,"                                     ",Berechnung2!$L$54),"")</f>
        <v/>
      </c>
      <c r="E24" s="31" t="str">
        <f>IF(COUNTIF(Berechnung3!$H$39:$H$43,Berechnung2!$L$54)&gt;0,"j","")</f>
        <v/>
      </c>
      <c r="G24" s="49" t="e">
        <f t="array" ref="G24">INDEX(B:B,SMALL(IF($C$15:$C$25="X",ROW($15:$25)),10))</f>
        <v>#NUM!</v>
      </c>
      <c r="H24" s="185" t="e">
        <f t="array" ref="H24">INDEX(D:D,SMALL(IF($C$15:$C$25="X",ROW($15:$25)),10))</f>
        <v>#NUM!</v>
      </c>
      <c r="I24" s="148" t="e">
        <f t="array" ref="I24">INDEX(E:E,SMALL(IF($C$15:$C$25="X",ROW($15:$25)),10))</f>
        <v>#NUM!</v>
      </c>
      <c r="J24" s="242" t="e">
        <f>IF(AND(Datendefizite_Matrix!D25="",I24&lt;&gt;""),"Anmerkung OnkoZert : Keine Erläuterung vorhanden",Datendefizite_Matrix!D25)</f>
        <v>#NUM!</v>
      </c>
    </row>
    <row r="25" spans="1:63" ht="38.1" customHeight="1" x14ac:dyDescent="0.2">
      <c r="A25" s="8" t="s">
        <v>389</v>
      </c>
      <c r="B25" s="32" t="str">
        <f>IF(Berechnung3!$H$43=Berechnung2!$L$59,Berechnung3!$B$6,"")</f>
        <v/>
      </c>
      <c r="C25" s="32">
        <f>IF(LEN(B25)&gt;0,"X",0)</f>
        <v>0</v>
      </c>
      <c r="D25" s="31" t="str">
        <f>IF(COUNTIF(Berechnung3!H$43,Berechnung2!$L$59)&gt;0,CONCATENATE(Berechnung1!$D$3,"                                     ",Berechnung2!$L$59),"")</f>
        <v/>
      </c>
      <c r="E25" s="31" t="str">
        <f>IF(COUNTIF(Berechnung3!H$43,Berechnung2!$L$59)&gt;0,"k","")</f>
        <v/>
      </c>
      <c r="G25" s="49" t="e">
        <f t="array" ref="G25">INDEX(B:B,SMALL(IF($C$15:$C$25="X",ROW($15:$25)),11))</f>
        <v>#NUM!</v>
      </c>
      <c r="H25" s="185" t="e">
        <f t="array" ref="H25">INDEX(D:D,SMALL(IF($C$15:$C$25="X",ROW($15:$25)),11))</f>
        <v>#NUM!</v>
      </c>
      <c r="I25" s="148" t="e">
        <f t="array" ref="I25">INDEX(E:E,SMALL(IF($C$15:$C$25="X",ROW($15:$25)),11))</f>
        <v>#NUM!</v>
      </c>
      <c r="J25" s="242" t="e">
        <f>IF(AND(Datendefizite_Matrix!D26="",I25&lt;&gt;""),"Anmerkung OnkoZert : Keine Erläuterung vorhanden",Datendefizite_Matrix!D26)</f>
        <v>#NUM!</v>
      </c>
    </row>
    <row r="29" spans="1:63" x14ac:dyDescent="0.2">
      <c r="A29" s="89" t="s">
        <v>60</v>
      </c>
      <c r="B29" s="86"/>
    </row>
    <row r="30" spans="1:63" x14ac:dyDescent="0.2">
      <c r="A30" s="89" t="s">
        <v>436</v>
      </c>
      <c r="B30" s="86"/>
    </row>
    <row r="31" spans="1:63" x14ac:dyDescent="0.2">
      <c r="A31" s="87" t="str">
        <f>Basisdaten!M14</f>
        <v/>
      </c>
      <c r="B31" s="88">
        <f>IF(A31&gt;A32,0,DATEDIF(A31,A32,"y"))</f>
        <v>0</v>
      </c>
      <c r="C31" s="90"/>
    </row>
    <row r="32" spans="1:63" x14ac:dyDescent="0.2">
      <c r="A32" s="357">
        <v>45657</v>
      </c>
      <c r="B32" s="88"/>
    </row>
    <row r="34" spans="1:17" ht="20.25" x14ac:dyDescent="0.3">
      <c r="A34" s="266"/>
    </row>
    <row r="36" spans="1:17" s="265" customFormat="1" ht="20.25" x14ac:dyDescent="0.25">
      <c r="A36" s="264" t="s">
        <v>115</v>
      </c>
      <c r="B36" s="243" t="s">
        <v>124</v>
      </c>
      <c r="C36" s="244"/>
      <c r="D36" s="244"/>
      <c r="E36" s="245"/>
      <c r="F36" s="246" t="s">
        <v>121</v>
      </c>
      <c r="G36" s="247"/>
      <c r="H36" s="247"/>
      <c r="I36" s="247"/>
      <c r="J36" s="248"/>
      <c r="K36" s="245"/>
      <c r="L36" s="243" t="s">
        <v>272</v>
      </c>
      <c r="M36" s="244"/>
      <c r="N36" s="244"/>
      <c r="O36" s="244"/>
      <c r="P36" s="247" t="s">
        <v>273</v>
      </c>
      <c r="Q36" s="249"/>
    </row>
    <row r="37" spans="1:17" s="265" customFormat="1" x14ac:dyDescent="0.25">
      <c r="B37" s="250"/>
      <c r="C37" s="244"/>
      <c r="D37" s="244"/>
      <c r="E37" s="245"/>
      <c r="F37" s="246"/>
      <c r="G37" s="251"/>
      <c r="H37" s="251"/>
      <c r="I37" s="247"/>
      <c r="J37" s="248"/>
      <c r="K37" s="245"/>
      <c r="L37" s="249"/>
      <c r="M37" s="244"/>
      <c r="N37" s="244"/>
      <c r="O37" s="244"/>
      <c r="P37" s="252" t="s">
        <v>274</v>
      </c>
      <c r="Q37" s="249"/>
    </row>
    <row r="38" spans="1:17" s="265" customFormat="1" x14ac:dyDescent="0.25">
      <c r="B38" s="253"/>
      <c r="C38" s="254"/>
      <c r="D38" s="255" t="s">
        <v>127</v>
      </c>
      <c r="E38" s="134"/>
      <c r="F38" s="256"/>
      <c r="G38" s="135"/>
      <c r="H38" s="135"/>
      <c r="I38" s="135"/>
      <c r="J38" s="139"/>
      <c r="K38" s="134"/>
      <c r="L38" s="254" t="s">
        <v>407</v>
      </c>
      <c r="M38" s="254"/>
      <c r="N38" s="254"/>
      <c r="O38" s="254"/>
      <c r="P38" s="257"/>
      <c r="Q38" s="249"/>
    </row>
    <row r="39" spans="1:17" s="265" customFormat="1" x14ac:dyDescent="0.25">
      <c r="B39" s="1025" t="s">
        <v>117</v>
      </c>
      <c r="C39" s="1026"/>
      <c r="D39" s="257" t="s">
        <v>125</v>
      </c>
      <c r="E39" s="134" t="s">
        <v>112</v>
      </c>
      <c r="F39" s="135"/>
      <c r="G39" s="370">
        <v>100</v>
      </c>
      <c r="H39" s="258"/>
      <c r="I39" s="135"/>
      <c r="J39" s="139"/>
      <c r="K39" s="134"/>
      <c r="L39" s="254" t="s">
        <v>275</v>
      </c>
      <c r="M39" s="254"/>
      <c r="N39" s="254"/>
      <c r="O39" s="254"/>
      <c r="P39" s="257"/>
      <c r="Q39" s="249"/>
    </row>
    <row r="40" spans="1:17" s="265" customFormat="1" x14ac:dyDescent="0.25">
      <c r="B40" s="1025" t="s">
        <v>118</v>
      </c>
      <c r="C40" s="1026"/>
      <c r="D40" s="257" t="s">
        <v>125</v>
      </c>
      <c r="E40" s="134" t="s">
        <v>112</v>
      </c>
      <c r="F40" s="289">
        <v>0</v>
      </c>
      <c r="G40" s="259">
        <v>0</v>
      </c>
      <c r="H40" s="289"/>
      <c r="I40" s="139">
        <v>0.69999</v>
      </c>
      <c r="J40" s="139">
        <v>0.69999</v>
      </c>
      <c r="K40" s="134"/>
      <c r="L40" s="254" t="s">
        <v>368</v>
      </c>
      <c r="M40" s="254"/>
      <c r="N40" s="254"/>
      <c r="O40" s="254"/>
      <c r="P40" s="257"/>
      <c r="Q40" s="249"/>
    </row>
    <row r="41" spans="1:17" s="265" customFormat="1" ht="26.25" customHeight="1" x14ac:dyDescent="0.25">
      <c r="B41" s="1027" t="s">
        <v>837</v>
      </c>
      <c r="C41" s="1026"/>
      <c r="D41" s="257" t="s">
        <v>126</v>
      </c>
      <c r="E41" s="134" t="s">
        <v>112</v>
      </c>
      <c r="F41" s="138">
        <v>0</v>
      </c>
      <c r="G41" s="137">
        <v>0</v>
      </c>
      <c r="H41" s="138"/>
      <c r="I41" s="139">
        <v>0.79998999999999998</v>
      </c>
      <c r="J41" s="138">
        <v>0.79998999999999998</v>
      </c>
      <c r="K41" s="134"/>
      <c r="L41" s="254" t="s">
        <v>227</v>
      </c>
      <c r="M41" s="254"/>
      <c r="N41" s="254"/>
      <c r="O41" s="254"/>
      <c r="P41" s="257"/>
      <c r="Q41" s="249"/>
    </row>
    <row r="42" spans="1:17" s="265" customFormat="1" ht="26.25" customHeight="1" x14ac:dyDescent="0.25">
      <c r="B42" s="1027" t="s">
        <v>838</v>
      </c>
      <c r="C42" s="1026"/>
      <c r="D42" s="257" t="s">
        <v>125</v>
      </c>
      <c r="E42" s="134" t="s">
        <v>111</v>
      </c>
      <c r="F42" s="139"/>
      <c r="G42" s="137">
        <v>0</v>
      </c>
      <c r="H42" s="139">
        <v>0.95001000000000002</v>
      </c>
      <c r="I42" s="139">
        <v>1</v>
      </c>
      <c r="J42" s="139">
        <v>0.95001000000000002</v>
      </c>
      <c r="K42" s="134"/>
      <c r="L42" s="254" t="s">
        <v>134</v>
      </c>
      <c r="M42" s="254"/>
      <c r="N42" s="254"/>
      <c r="O42" s="254"/>
      <c r="P42" s="257"/>
      <c r="Q42" s="249"/>
    </row>
    <row r="43" spans="1:17" s="265" customFormat="1" ht="28.5" customHeight="1" x14ac:dyDescent="0.25">
      <c r="B43" s="1025" t="s">
        <v>354</v>
      </c>
      <c r="C43" s="1026"/>
      <c r="D43" s="257" t="s">
        <v>353</v>
      </c>
      <c r="E43" s="134"/>
      <c r="F43" s="135"/>
      <c r="G43" s="135"/>
      <c r="H43" s="135"/>
      <c r="I43" s="135"/>
      <c r="J43" s="139"/>
      <c r="K43" s="134"/>
      <c r="L43" s="1025" t="s">
        <v>367</v>
      </c>
      <c r="M43" s="1026"/>
      <c r="N43" s="254"/>
      <c r="O43" s="254"/>
      <c r="P43" s="257"/>
      <c r="Q43" s="249"/>
    </row>
    <row r="44" spans="1:17" s="265" customFormat="1" ht="30.75" customHeight="1" x14ac:dyDescent="0.25">
      <c r="B44" s="1025" t="s">
        <v>355</v>
      </c>
      <c r="C44" s="1026"/>
      <c r="D44" s="257" t="s">
        <v>353</v>
      </c>
      <c r="E44" s="134"/>
      <c r="F44" s="135"/>
      <c r="G44" s="135"/>
      <c r="H44" s="135"/>
      <c r="I44" s="135"/>
      <c r="J44" s="139"/>
      <c r="K44" s="134"/>
      <c r="L44" s="1025" t="s">
        <v>365</v>
      </c>
      <c r="M44" s="1026"/>
      <c r="N44" s="254"/>
      <c r="O44" s="254"/>
      <c r="P44" s="257"/>
      <c r="Q44" s="249"/>
    </row>
    <row r="45" spans="1:17" s="265" customFormat="1" ht="32.25" customHeight="1" x14ac:dyDescent="0.25">
      <c r="B45" s="1025" t="s">
        <v>356</v>
      </c>
      <c r="C45" s="1026"/>
      <c r="D45" s="257" t="s">
        <v>353</v>
      </c>
      <c r="E45" s="134"/>
      <c r="F45" s="135"/>
      <c r="G45" s="135"/>
      <c r="H45" s="135"/>
      <c r="I45" s="135"/>
      <c r="J45" s="139"/>
      <c r="K45" s="134"/>
      <c r="L45" s="1025" t="s">
        <v>366</v>
      </c>
      <c r="M45" s="1026"/>
      <c r="N45" s="254"/>
      <c r="O45" s="254"/>
      <c r="P45" s="257"/>
      <c r="Q45" s="249"/>
    </row>
    <row r="46" spans="1:17" s="265" customFormat="1" x14ac:dyDescent="0.25">
      <c r="B46" s="249"/>
      <c r="C46" s="249"/>
      <c r="D46" s="249"/>
      <c r="E46" s="249"/>
      <c r="F46" s="249"/>
      <c r="G46" s="249"/>
      <c r="H46" s="249"/>
      <c r="I46" s="249"/>
      <c r="J46" s="249"/>
      <c r="K46" s="249"/>
      <c r="L46" s="249"/>
      <c r="M46" s="249"/>
      <c r="N46" s="249"/>
      <c r="O46" s="249"/>
      <c r="P46" s="257"/>
      <c r="Q46" s="249"/>
    </row>
    <row r="47" spans="1:17" s="265" customFormat="1" x14ac:dyDescent="0.25">
      <c r="B47" s="260" t="s">
        <v>106</v>
      </c>
      <c r="C47" s="254"/>
      <c r="D47" s="134"/>
      <c r="E47" s="135" t="s">
        <v>123</v>
      </c>
      <c r="F47" s="135" t="s">
        <v>119</v>
      </c>
      <c r="G47" s="135"/>
      <c r="H47" s="135"/>
      <c r="I47" s="135"/>
      <c r="J47" s="135" t="s">
        <v>120</v>
      </c>
      <c r="K47" s="134"/>
      <c r="L47" s="261" t="s">
        <v>229</v>
      </c>
      <c r="M47" s="261"/>
      <c r="N47" s="262" t="s">
        <v>276</v>
      </c>
      <c r="O47" s="261"/>
      <c r="P47" s="257"/>
      <c r="Q47" s="249"/>
    </row>
    <row r="48" spans="1:17" s="265" customFormat="1" x14ac:dyDescent="0.25">
      <c r="B48" s="260">
        <v>2017</v>
      </c>
      <c r="C48" s="300">
        <v>0</v>
      </c>
      <c r="D48" s="137"/>
      <c r="E48" s="138">
        <v>0</v>
      </c>
      <c r="F48" s="139">
        <v>0.49998999999999999</v>
      </c>
      <c r="G48" s="290">
        <v>0.49998999999999999</v>
      </c>
      <c r="H48" s="139"/>
      <c r="I48" s="179"/>
      <c r="J48" s="292"/>
      <c r="K48" s="134"/>
      <c r="L48" s="261" t="s">
        <v>229</v>
      </c>
      <c r="M48" s="261"/>
      <c r="N48" s="262" t="s">
        <v>276</v>
      </c>
      <c r="O48" s="261"/>
      <c r="P48" s="257"/>
      <c r="Q48" s="249"/>
    </row>
    <row r="49" spans="2:17" s="265" customFormat="1" x14ac:dyDescent="0.25">
      <c r="B49" s="260">
        <v>2018</v>
      </c>
      <c r="C49" s="300">
        <v>0</v>
      </c>
      <c r="D49" s="137"/>
      <c r="E49" s="138">
        <v>0</v>
      </c>
      <c r="F49" s="139">
        <v>0.49990000000000001</v>
      </c>
      <c r="G49" s="290">
        <v>0.49998999999999999</v>
      </c>
      <c r="H49" s="139"/>
      <c r="I49" s="179"/>
      <c r="J49" s="292"/>
      <c r="K49" s="134"/>
      <c r="L49" s="261" t="s">
        <v>229</v>
      </c>
      <c r="M49" s="261"/>
      <c r="N49" s="262" t="s">
        <v>276</v>
      </c>
      <c r="O49" s="261"/>
      <c r="P49" s="257"/>
      <c r="Q49" s="249"/>
    </row>
    <row r="50" spans="2:17" s="265" customFormat="1" x14ac:dyDescent="0.25">
      <c r="B50" s="260">
        <v>2019</v>
      </c>
      <c r="C50" s="300">
        <v>0</v>
      </c>
      <c r="D50" s="137"/>
      <c r="E50" s="138">
        <v>0</v>
      </c>
      <c r="F50" s="139">
        <v>0.59999000000000002</v>
      </c>
      <c r="G50" s="290">
        <v>0.59999000000000002</v>
      </c>
      <c r="H50" s="139"/>
      <c r="I50" s="179"/>
      <c r="J50" s="292"/>
      <c r="K50" s="134"/>
      <c r="L50" s="261" t="s">
        <v>229</v>
      </c>
      <c r="M50" s="261"/>
      <c r="N50" s="262" t="s">
        <v>276</v>
      </c>
      <c r="O50" s="261"/>
      <c r="P50" s="257"/>
      <c r="Q50" s="249"/>
    </row>
    <row r="51" spans="2:17" s="265" customFormat="1" x14ac:dyDescent="0.25">
      <c r="B51" s="260">
        <v>2020</v>
      </c>
      <c r="C51" s="300">
        <v>0</v>
      </c>
      <c r="D51" s="137"/>
      <c r="E51" s="138">
        <v>0</v>
      </c>
      <c r="F51" s="139">
        <v>0.69999</v>
      </c>
      <c r="G51" s="290">
        <v>0.69999</v>
      </c>
      <c r="H51" s="139"/>
      <c r="I51" s="179"/>
      <c r="J51" s="292"/>
      <c r="K51" s="134"/>
      <c r="L51" s="261" t="s">
        <v>229</v>
      </c>
      <c r="M51" s="261"/>
      <c r="N51" s="262" t="s">
        <v>276</v>
      </c>
      <c r="O51" s="261"/>
      <c r="P51" s="257"/>
      <c r="Q51" s="249"/>
    </row>
    <row r="52" spans="2:17" s="265" customFormat="1" x14ac:dyDescent="0.25">
      <c r="B52" s="260">
        <v>2021</v>
      </c>
      <c r="C52" s="300">
        <v>0</v>
      </c>
      <c r="D52" s="137"/>
      <c r="E52" s="138">
        <v>0</v>
      </c>
      <c r="F52" s="139">
        <v>0.79998999999999998</v>
      </c>
      <c r="G52" s="290">
        <v>0.79998999999999998</v>
      </c>
      <c r="H52" s="139"/>
      <c r="I52" s="179"/>
      <c r="J52" s="292"/>
      <c r="K52" s="134"/>
      <c r="L52" s="261" t="s">
        <v>229</v>
      </c>
      <c r="M52" s="261"/>
      <c r="N52" s="262" t="s">
        <v>276</v>
      </c>
      <c r="O52" s="261"/>
      <c r="P52" s="257"/>
      <c r="Q52" s="249"/>
    </row>
    <row r="53" spans="2:17" s="265" customFormat="1" x14ac:dyDescent="0.25">
      <c r="B53" s="249"/>
      <c r="C53" s="249"/>
      <c r="D53" s="136"/>
      <c r="E53" s="136"/>
      <c r="F53" s="136"/>
      <c r="G53" s="291"/>
      <c r="H53" s="136"/>
      <c r="I53" s="291"/>
      <c r="J53" s="293"/>
      <c r="K53" s="136"/>
      <c r="L53" s="263"/>
      <c r="M53" s="263"/>
      <c r="N53" s="263"/>
      <c r="O53" s="263"/>
      <c r="P53" s="257"/>
      <c r="Q53" s="249"/>
    </row>
    <row r="54" spans="2:17" s="265" customFormat="1" x14ac:dyDescent="0.25">
      <c r="B54" s="260" t="s">
        <v>61</v>
      </c>
      <c r="C54" s="254"/>
      <c r="D54" s="134"/>
      <c r="E54" s="135"/>
      <c r="F54" s="135" t="s">
        <v>119</v>
      </c>
      <c r="G54" s="139"/>
      <c r="H54" s="135"/>
      <c r="I54" s="139"/>
      <c r="J54" s="139" t="s">
        <v>120</v>
      </c>
      <c r="K54" s="134"/>
      <c r="L54" s="261" t="s">
        <v>387</v>
      </c>
      <c r="M54" s="261"/>
      <c r="N54" s="261" t="s">
        <v>387</v>
      </c>
      <c r="O54" s="261"/>
      <c r="P54" s="257"/>
      <c r="Q54" s="249"/>
    </row>
    <row r="55" spans="2:17" s="265" customFormat="1" x14ac:dyDescent="0.25">
      <c r="B55" s="260">
        <v>2017</v>
      </c>
      <c r="C55" s="300">
        <v>0</v>
      </c>
      <c r="D55" s="137"/>
      <c r="E55" s="138">
        <v>0</v>
      </c>
      <c r="F55" s="139">
        <v>0.59999000000000002</v>
      </c>
      <c r="G55" s="290">
        <v>0.59999000000000002</v>
      </c>
      <c r="H55" s="139"/>
      <c r="I55" s="139">
        <v>1</v>
      </c>
      <c r="J55" s="290">
        <v>1</v>
      </c>
      <c r="K55" s="134"/>
      <c r="L55" s="261" t="s">
        <v>387</v>
      </c>
      <c r="M55" s="261"/>
      <c r="N55" s="261" t="s">
        <v>387</v>
      </c>
      <c r="O55" s="261"/>
      <c r="P55" s="257"/>
      <c r="Q55" s="249"/>
    </row>
    <row r="56" spans="2:17" s="265" customFormat="1" x14ac:dyDescent="0.25">
      <c r="B56" s="260">
        <v>2018</v>
      </c>
      <c r="C56" s="300">
        <v>0</v>
      </c>
      <c r="D56" s="137"/>
      <c r="E56" s="138">
        <v>0</v>
      </c>
      <c r="F56" s="139">
        <v>0.69999</v>
      </c>
      <c r="G56" s="290">
        <v>0.69999</v>
      </c>
      <c r="H56" s="139"/>
      <c r="I56" s="139">
        <v>1</v>
      </c>
      <c r="J56" s="290">
        <v>1</v>
      </c>
      <c r="K56" s="134"/>
      <c r="L56" s="261" t="s">
        <v>387</v>
      </c>
      <c r="M56" s="261"/>
      <c r="N56" s="261" t="s">
        <v>387</v>
      </c>
      <c r="O56" s="261"/>
      <c r="P56" s="257"/>
      <c r="Q56" s="249"/>
    </row>
    <row r="57" spans="2:17" s="265" customFormat="1" x14ac:dyDescent="0.25">
      <c r="B57" s="260">
        <v>2019</v>
      </c>
      <c r="C57" s="300">
        <v>0</v>
      </c>
      <c r="D57" s="137"/>
      <c r="E57" s="138">
        <v>0</v>
      </c>
      <c r="F57" s="139">
        <v>0.79998999999999998</v>
      </c>
      <c r="G57" s="290">
        <v>0.79998999999999998</v>
      </c>
      <c r="H57" s="139"/>
      <c r="I57" s="139">
        <v>1</v>
      </c>
      <c r="J57" s="290">
        <v>1</v>
      </c>
      <c r="K57" s="134"/>
      <c r="L57" s="261" t="s">
        <v>387</v>
      </c>
      <c r="M57" s="261"/>
      <c r="N57" s="261" t="s">
        <v>387</v>
      </c>
      <c r="O57" s="261"/>
      <c r="P57" s="257"/>
      <c r="Q57" s="249"/>
    </row>
    <row r="58" spans="2:17" s="265" customFormat="1" x14ac:dyDescent="0.25">
      <c r="B58" s="260">
        <v>2020</v>
      </c>
      <c r="C58" s="300">
        <v>0</v>
      </c>
      <c r="D58" s="137"/>
      <c r="E58" s="138">
        <v>0</v>
      </c>
      <c r="F58" s="139">
        <v>0.89998999999999996</v>
      </c>
      <c r="G58" s="290">
        <v>0.89998999999999996</v>
      </c>
      <c r="H58" s="139"/>
      <c r="I58" s="139">
        <v>1</v>
      </c>
      <c r="J58" s="290">
        <v>1</v>
      </c>
      <c r="K58" s="134"/>
      <c r="L58" s="261" t="s">
        <v>387</v>
      </c>
      <c r="M58" s="261"/>
      <c r="N58" s="261" t="s">
        <v>387</v>
      </c>
      <c r="O58" s="261"/>
      <c r="P58" s="257"/>
      <c r="Q58" s="249"/>
    </row>
    <row r="59" spans="2:17" s="265" customFormat="1" x14ac:dyDescent="0.25">
      <c r="B59" s="260">
        <v>2021</v>
      </c>
      <c r="C59" s="300">
        <v>0</v>
      </c>
      <c r="D59" s="137"/>
      <c r="E59" s="138">
        <v>0</v>
      </c>
      <c r="F59" s="139">
        <v>0.89998999999999996</v>
      </c>
      <c r="G59" s="290">
        <v>0.89998999999999996</v>
      </c>
      <c r="H59" s="139"/>
      <c r="I59" s="139">
        <v>1</v>
      </c>
      <c r="J59" s="292"/>
      <c r="K59" s="134"/>
      <c r="L59" s="261" t="s">
        <v>230</v>
      </c>
      <c r="M59" s="261"/>
      <c r="N59" s="262" t="s">
        <v>277</v>
      </c>
      <c r="O59" s="261"/>
      <c r="P59" s="257"/>
      <c r="Q59" s="249"/>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14">
    <mergeCell ref="E13:E14"/>
    <mergeCell ref="L44:M44"/>
    <mergeCell ref="L45:M45"/>
    <mergeCell ref="B44:C44"/>
    <mergeCell ref="B45:C45"/>
    <mergeCell ref="B42:C42"/>
    <mergeCell ref="B41:C41"/>
    <mergeCell ref="B43:C43"/>
    <mergeCell ref="L43:M43"/>
    <mergeCell ref="B40:C40"/>
    <mergeCell ref="B39:C39"/>
    <mergeCell ref="D13:D14"/>
    <mergeCell ref="B13:B14"/>
    <mergeCell ref="C13:C14"/>
  </mergeCells>
  <phoneticPr fontId="41" type="noConversion"/>
  <conditionalFormatting sqref="BH7">
    <cfRule type="expression" dxfId="51" priority="2160">
      <formula>$BH7="EZ"</formula>
    </cfRule>
    <cfRule type="expression" dxfId="5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0"/>
  <dimension ref="A1:I23"/>
  <sheetViews>
    <sheetView workbookViewId="0">
      <selection activeCell="F1" sqref="F1"/>
    </sheetView>
  </sheetViews>
  <sheetFormatPr defaultColWidth="11.42578125" defaultRowHeight="15" x14ac:dyDescent="0.25"/>
  <cols>
    <col min="1" max="1" width="14.7109375" customWidth="1"/>
    <col min="2" max="2" width="18.140625" customWidth="1"/>
    <col min="3" max="3" width="14.7109375" customWidth="1"/>
    <col min="4" max="4" width="13.28515625" customWidth="1"/>
    <col min="5" max="5" width="14.85546875" customWidth="1"/>
    <col min="6" max="6" width="17.140625" customWidth="1"/>
    <col min="7" max="7" width="16" customWidth="1"/>
    <col min="8" max="8" width="15.28515625" customWidth="1"/>
    <col min="9" max="9" width="13.140625" customWidth="1"/>
    <col min="10" max="10" width="9.7109375" customWidth="1"/>
    <col min="11" max="11" width="8.7109375" customWidth="1"/>
    <col min="12" max="12" width="10" customWidth="1"/>
  </cols>
  <sheetData>
    <row r="1" spans="1:9" ht="41.25" customHeight="1" x14ac:dyDescent="0.25">
      <c r="A1" s="93" t="str">
        <f>Matrix!B18</f>
        <v>Relevante Nachsorgejahre</v>
      </c>
      <c r="B1" s="93" t="str">
        <f>Matrix!C18</f>
        <v>Angabe Jahr Primärfälle</v>
      </c>
      <c r="C1" s="93" t="str">
        <f>Matrix!D18</f>
        <v>Anzahl Primärfälle
(posttherapeutisch tumorfrei)</v>
      </c>
      <c r="D1" s="93" t="str">
        <f>LEFT(Matrix!F18,18)</f>
        <v>Pat. mit Follow-Up</v>
      </c>
      <c r="E1" s="93" t="str">
        <f>Matrix!G18</f>
        <v>Follow-Up Quote in % (F / D)</v>
      </c>
      <c r="F1" s="93" t="str">
        <f>LEFT(Matrix!I18,35)</f>
        <v>DFS (Disease Free Survival) absolut</v>
      </c>
      <c r="G1" s="93" t="str">
        <f>Matrix!J18</f>
        <v>DFS (Disease Free Survival)  in %</v>
      </c>
      <c r="H1" s="93" t="str">
        <f>Matrix!L18</f>
        <v>OAS (Overall Survival) absolut</v>
      </c>
      <c r="I1" s="93" t="str">
        <f>Matrix!M18</f>
        <v>OAS (Overall Survival)  in %</v>
      </c>
    </row>
    <row r="2" spans="1:9" x14ac:dyDescent="0.25">
      <c r="A2" s="152" t="str">
        <f>Matrix!B20</f>
        <v>nicht relevant</v>
      </c>
      <c r="B2" s="152">
        <f>Matrix!C20</f>
        <v>2018</v>
      </c>
      <c r="C2" s="178" t="str">
        <f>IF(Matrix!D20="","",Matrix!D20)</f>
        <v/>
      </c>
      <c r="D2" s="178" t="str">
        <f>IF(Matrix!F20="","",Matrix!F20)</f>
        <v/>
      </c>
      <c r="E2" s="267" t="str">
        <f>IF(Matrix!G20="","",Matrix!G20*100)</f>
        <v/>
      </c>
      <c r="F2" s="178" t="str">
        <f>IF(Matrix!I20="","",Matrix!I20)</f>
        <v/>
      </c>
      <c r="G2" s="267" t="str">
        <f>IF(Matrix!J20="","",Matrix!J20*100)</f>
        <v/>
      </c>
      <c r="H2" s="178" t="str">
        <f>IF(Matrix!L20="","",Matrix!L20)</f>
        <v/>
      </c>
      <c r="I2" s="267" t="str">
        <f>IF(Matrix!M20="","",Matrix!M20*100)</f>
        <v/>
      </c>
    </row>
    <row r="3" spans="1:9" x14ac:dyDescent="0.25">
      <c r="A3" s="152" t="str">
        <f>Matrix!B21</f>
        <v>nicht relevant</v>
      </c>
      <c r="B3" s="152">
        <f>Matrix!C21</f>
        <v>2019</v>
      </c>
      <c r="C3" s="178" t="str">
        <f>IF(Matrix!D21="","",Matrix!D21)</f>
        <v/>
      </c>
      <c r="D3" s="178" t="str">
        <f>IF(Matrix!F21="","",Matrix!F21)</f>
        <v/>
      </c>
      <c r="E3" s="267" t="str">
        <f>IF(Matrix!G21="","",Matrix!G21*100)</f>
        <v/>
      </c>
      <c r="F3" s="178" t="str">
        <f>IF(Matrix!I21="","",Matrix!I21)</f>
        <v/>
      </c>
      <c r="G3" s="267" t="str">
        <f>IF(Matrix!J21="","",Matrix!J21*100)</f>
        <v/>
      </c>
      <c r="H3" s="178" t="str">
        <f>IF(Matrix!L21="","",Matrix!L21)</f>
        <v/>
      </c>
      <c r="I3" s="267" t="str">
        <f>IF(Matrix!M21="","",Matrix!M21*100)</f>
        <v/>
      </c>
    </row>
    <row r="4" spans="1:9" x14ac:dyDescent="0.25">
      <c r="A4" s="152" t="str">
        <f>Matrix!B22</f>
        <v>nicht relevant</v>
      </c>
      <c r="B4" s="152">
        <f>Matrix!C22</f>
        <v>2020</v>
      </c>
      <c r="C4" s="178" t="str">
        <f>IF(Matrix!D22="","",Matrix!D22)</f>
        <v/>
      </c>
      <c r="D4" s="178" t="str">
        <f>IF(Matrix!F22="","",Matrix!F22)</f>
        <v/>
      </c>
      <c r="E4" s="267" t="str">
        <f>IF(Matrix!G22="","",Matrix!G22*100)</f>
        <v/>
      </c>
      <c r="F4" s="178" t="str">
        <f>IF(Matrix!I22="","",Matrix!I22)</f>
        <v/>
      </c>
      <c r="G4" s="267" t="str">
        <f>IF(Matrix!J22="","",Matrix!J22*100)</f>
        <v/>
      </c>
      <c r="H4" s="178" t="str">
        <f>IF(Matrix!L22="","",Matrix!L22)</f>
        <v/>
      </c>
      <c r="I4" s="267" t="str">
        <f>IF(Matrix!M22="","",Matrix!M22*100)</f>
        <v/>
      </c>
    </row>
    <row r="5" spans="1:9" x14ac:dyDescent="0.25">
      <c r="A5" s="152" t="str">
        <f>Matrix!B23</f>
        <v>nicht relevant</v>
      </c>
      <c r="B5" s="152">
        <f>Matrix!C23</f>
        <v>2021</v>
      </c>
      <c r="C5" s="178" t="str">
        <f>IF(Matrix!D23="","",Matrix!D23)</f>
        <v/>
      </c>
      <c r="D5" s="178" t="str">
        <f>IF(Matrix!F23="","",Matrix!F23)</f>
        <v/>
      </c>
      <c r="E5" s="267" t="str">
        <f>IF(Matrix!G23="","",Matrix!G23*100)</f>
        <v/>
      </c>
      <c r="F5" s="178" t="str">
        <f>IF(Matrix!I23="","",Matrix!I23)</f>
        <v/>
      </c>
      <c r="G5" s="267" t="str">
        <f>IF(Matrix!J23="","",Matrix!J23*100)</f>
        <v/>
      </c>
      <c r="H5" s="178" t="str">
        <f>IF(Matrix!L23="","",Matrix!L23)</f>
        <v/>
      </c>
      <c r="I5" s="267" t="str">
        <f>IF(Matrix!M23="","",Matrix!M23*100)</f>
        <v/>
      </c>
    </row>
    <row r="6" spans="1:9" x14ac:dyDescent="0.25">
      <c r="A6" s="152" t="str">
        <f>Matrix!B24</f>
        <v>nicht relevant</v>
      </c>
      <c r="B6" s="152">
        <f>Matrix!C24</f>
        <v>2022</v>
      </c>
      <c r="C6" s="178" t="str">
        <f>IF(Matrix!D24="","",Matrix!D24)</f>
        <v/>
      </c>
      <c r="D6" s="178" t="str">
        <f>IF(Matrix!F24="","",Matrix!F24)</f>
        <v/>
      </c>
      <c r="E6" s="267" t="str">
        <f>IF(Matrix!G24="","",Matrix!G24*100)</f>
        <v/>
      </c>
      <c r="F6" s="178" t="str">
        <f>IF(Matrix!I24="","",Matrix!I24)</f>
        <v/>
      </c>
      <c r="G6" s="267" t="str">
        <f>IF(Matrix!J24="","",Matrix!J24*100)</f>
        <v/>
      </c>
      <c r="H6" s="178" t="str">
        <f>IF(Matrix!L24="","",Matrix!L24)</f>
        <v/>
      </c>
      <c r="I6" s="267" t="str">
        <f>IF(Matrix!M24="","",Matrix!M24*100)</f>
        <v/>
      </c>
    </row>
    <row r="9" spans="1:9" x14ac:dyDescent="0.25">
      <c r="A9" s="153"/>
    </row>
    <row r="10" spans="1:9" ht="45.75" customHeight="1" x14ac:dyDescent="0.25"/>
    <row r="12" spans="1:9" ht="35.1" customHeight="1" x14ac:dyDescent="0.25"/>
    <row r="13" spans="1:9" ht="35.1" customHeight="1" x14ac:dyDescent="0.25"/>
    <row r="14" spans="1:9" ht="35.1" customHeight="1" x14ac:dyDescent="0.25"/>
    <row r="15" spans="1:9" ht="35.1" customHeight="1" x14ac:dyDescent="0.25">
      <c r="I15" t="s">
        <v>76</v>
      </c>
    </row>
    <row r="16" spans="1:9" ht="35.1" customHeight="1" x14ac:dyDescent="0.25"/>
    <row r="17" ht="35.1" customHeight="1" x14ac:dyDescent="0.25"/>
    <row r="18" ht="35.1" customHeight="1" x14ac:dyDescent="0.25"/>
    <row r="19" ht="35.1" customHeight="1" x14ac:dyDescent="0.25"/>
    <row r="20" ht="35.1" customHeight="1" x14ac:dyDescent="0.25"/>
    <row r="21" ht="35.1" customHeight="1" x14ac:dyDescent="0.25"/>
    <row r="22" ht="35.1" customHeight="1" x14ac:dyDescent="0.25"/>
    <row r="23" ht="35.1" customHeight="1" x14ac:dyDescent="0.25"/>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phoneticPr fontId="41" type="noConversion"/>
  <conditionalFormatting sqref="B2:B6">
    <cfRule type="expression" dxfId="49" priority="47" stopIfTrue="1">
      <formula>OR($B2="nicht relevant",$B2="EZ")</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P48"/>
  <sheetViews>
    <sheetView showGridLines="0" topLeftCell="A28" zoomScaleNormal="100" workbookViewId="0">
      <selection activeCell="E44" sqref="E44"/>
    </sheetView>
  </sheetViews>
  <sheetFormatPr defaultColWidth="11.42578125" defaultRowHeight="12" x14ac:dyDescent="0.25"/>
  <cols>
    <col min="1" max="1" width="13.140625" style="211" customWidth="1"/>
    <col min="2" max="2" width="9.140625" style="211" customWidth="1"/>
    <col min="3" max="3" width="3" style="211" customWidth="1"/>
    <col min="4" max="4" width="28.85546875" style="211" customWidth="1"/>
    <col min="5" max="5" width="15.28515625" style="211" customWidth="1"/>
    <col min="6" max="6" width="7.85546875" style="211" customWidth="1"/>
    <col min="7" max="7" width="8.28515625" style="211" customWidth="1"/>
    <col min="8" max="8" width="37" style="211" customWidth="1"/>
    <col min="9" max="9" width="55.7109375" style="211" customWidth="1"/>
    <col min="10" max="10" width="5.5703125" style="211" customWidth="1"/>
    <col min="11" max="11" width="25.5703125" style="211" customWidth="1"/>
    <col min="12" max="12" width="34.7109375" style="211" customWidth="1"/>
    <col min="13" max="13" width="36.28515625" style="211" customWidth="1"/>
    <col min="14" max="14" width="41.42578125" style="211" customWidth="1"/>
    <col min="15" max="15" width="65" style="211" customWidth="1"/>
    <col min="16" max="16" width="41.7109375" style="211" customWidth="1"/>
    <col min="17" max="16384" width="11.42578125" style="211"/>
  </cols>
  <sheetData>
    <row r="1" spans="1:16" s="8" customFormat="1" ht="24.75" thickBot="1" x14ac:dyDescent="0.3">
      <c r="A1" s="211"/>
      <c r="B1" s="211"/>
      <c r="C1" s="211"/>
      <c r="D1" s="241"/>
      <c r="E1" s="211"/>
      <c r="F1" s="211"/>
      <c r="G1" s="211"/>
      <c r="L1" s="235" t="s">
        <v>129</v>
      </c>
      <c r="M1" s="234" t="s">
        <v>420</v>
      </c>
      <c r="N1" s="234" t="s">
        <v>419</v>
      </c>
      <c r="O1" s="235" t="s">
        <v>62</v>
      </c>
      <c r="P1" s="235" t="s">
        <v>394</v>
      </c>
    </row>
    <row r="2" spans="1:16" s="8" customFormat="1" ht="23.1" customHeight="1" x14ac:dyDescent="0.25">
      <c r="A2" s="223" t="str">
        <f>IF(Berechnung2!$B$31&gt;5,IF(Berechnung2!$B$31=6,"EZ",IF(Berechnung2!$B$31&gt;6,"relevant","?")),"nicht relevant")</f>
        <v>nicht relevant</v>
      </c>
      <c r="B2" s="54" t="str">
        <f>CONCATENATE("2018;"," ")</f>
        <v xml:space="preserve">2018; </v>
      </c>
      <c r="C2" s="44"/>
      <c r="D2" s="202" t="s">
        <v>102</v>
      </c>
      <c r="E2" s="296" t="str">
        <f>IF(H2="","","2018")</f>
        <v/>
      </c>
      <c r="F2" s="224" t="str">
        <f>IF(H2="","","a")</f>
        <v/>
      </c>
      <c r="G2" s="313" t="str">
        <f>IF(I2="","","1")</f>
        <v/>
      </c>
      <c r="H2" s="315" t="str">
        <f>IF(A2="relevant",IF(COUNTIF(Matrix!D20:M20,"")&gt;3,Berechnung2!$L$38,""),"")</f>
        <v/>
      </c>
      <c r="I2" s="217" t="str">
        <f>IF(H2="","",VLOOKUP(F2,Berechnung2!$I$15:$J$25,2,FALSE))</f>
        <v/>
      </c>
      <c r="J2" s="317" t="str">
        <f>IF(H2&lt;&gt;"",1,"")</f>
        <v/>
      </c>
      <c r="L2" s="223" t="str">
        <f t="array" aca="1" ref="L2" ca="1">IF(ROW()-ROW($F$2:$F$43)+1&gt;ROWS($E$2:$E$43)-COUNTBLANK($E$2:$E$43),"",INDIRECT(ADDRESS(SMALL((IF($E$2:$E$43&lt;&gt;"",ROW($E$2:$E$43),ROW()+ROWS($E$2:$E$43))),ROW()-ROW($F$2:$F$43)+1),COLUMN($E$2:$E$43),4)))</f>
        <v/>
      </c>
      <c r="M2" s="223" t="str">
        <f t="array" aca="1" ref="M2" ca="1">IF(ROW()-ROW($G$2:$G$43)+1&gt;ROWS($F$2:$F$43)-COUNTBLANK($F$2:$F$43),"",INDIRECT(ADDRESS(SMALL((IF($F$2:$F$43&lt;&gt;"",ROW($F$2:$F$43),ROW()+ROWS($F$2:$F$43))),ROW()-ROW($G$2:$G$43)+1),COLUMN($F$2:$F$43),4)))</f>
        <v/>
      </c>
      <c r="N2" s="223" t="str">
        <f t="array" aca="1" ref="N2" ca="1">IF(ROW()-ROW($H$2:$H$43)+1&gt;ROWS($G$2:$G$43)-COUNTBLANK($G$2:$G$43),"",INDIRECT(ADDRESS(SMALL((IF($G$2:$G$43&lt;&gt;"",ROW($G$2:$G$43),ROW()+ROWS($G$2:$G$43))),ROW()-ROW($H$2:$H$43)+1),COLUMN($G$2:$G$43),4)))</f>
        <v/>
      </c>
      <c r="O2" s="223" t="str">
        <f t="array" aca="1" ref="O2" ca="1">IF(ROW()-ROW($I$2:$I$43)+1&gt;ROWS($H$2:$H$43)-COUNTBLANK($H$2:$H$43),"",INDIRECT(ADDRESS(SMALL((IF($H$2:$H$43&lt;&gt;"",ROW($H$2:$H$43),ROW()+ROWS($H$2:$H$43))),ROW()-ROW($I$2:$I$43)+1),COLUMN($H$2:$H$43),4)))</f>
        <v/>
      </c>
      <c r="P2" s="223" t="str">
        <f t="array" aca="1" ref="P2" ca="1">IF(ROW()-ROW($J$2:$J$43)+1&gt;ROWS($I$2:$I$43)-COUNTBLANK($I$2:$I$43),"",INDIRECT(ADDRESS(SMALL((IF($I$2:$I$43&lt;&gt;"",ROW($I$2:$I$43),ROW()+ROWS($I$2:$I$43))),ROW()-ROW($J$2:$J$43)+1),COLUMN($I$2:$I$43),4)))</f>
        <v/>
      </c>
    </row>
    <row r="3" spans="1:16" s="8" customFormat="1" ht="23.1" customHeight="1" x14ac:dyDescent="0.25">
      <c r="A3" s="223" t="str">
        <f>IF(Berechnung2!$B$31&gt;4,IF(Berechnung2!$B$31=5,"EZ",IF(Berechnung2!$B$31&gt;5,"relevant","?")),"nicht relevant")</f>
        <v>nicht relevant</v>
      </c>
      <c r="B3" s="54" t="str">
        <f>CONCATENATE("2019;"," ")</f>
        <v xml:space="preserve">2019; </v>
      </c>
      <c r="C3" s="44"/>
      <c r="D3" s="1035" t="s">
        <v>407</v>
      </c>
      <c r="E3" s="297" t="str">
        <f>IF(H3="","","2019")</f>
        <v/>
      </c>
      <c r="F3" s="54" t="str">
        <f>IF(H3="","","a")</f>
        <v/>
      </c>
      <c r="G3" s="314" t="str">
        <f t="shared" ref="G3:G21" si="0">IF(I3="","","1")</f>
        <v/>
      </c>
      <c r="H3" s="316" t="str">
        <f>IF(A3="relevant",IF(COUNTIF(Matrix!D21:M21,"")&gt;3,Berechnung2!$L$38,""),"")</f>
        <v/>
      </c>
      <c r="I3" s="218" t="str">
        <f>IF(H3="","",VLOOKUP(F3,Berechnung2!$I$15:$J$25,2,FALSE))</f>
        <v/>
      </c>
      <c r="J3" s="318" t="str">
        <f t="shared" ref="J3:J43" si="1">IF(H3&lt;&gt;"",1,"")</f>
        <v/>
      </c>
      <c r="L3" s="223" t="str">
        <f t="array" aca="1" ref="L3" ca="1">IF(ROW()-ROW($F$2:$F$43)+1&gt;ROWS($E$2:$E$43)-COUNTBLANK($E$2:$E$43),"",INDIRECT(ADDRESS(SMALL((IF($E$2:$E$43&lt;&gt;"",ROW($E$2:$E$43),ROW()+ROWS($E$2:$E$43))),ROW()-ROW($F$2:$F$43)+1),COLUMN($E$2:$E$43),4)))</f>
        <v/>
      </c>
      <c r="M3" s="223" t="str">
        <f t="array" aca="1" ref="M3" ca="1">IF(ROW()-ROW($G$2:$G$43)+1&gt;ROWS($F$2:$F$43)-COUNTBLANK($F$2:$F$43),"",INDIRECT(ADDRESS(SMALL((IF($F$2:$F$43&lt;&gt;"",ROW($F$2:$F$43),ROW()+ROWS($F$2:$F$43))),ROW()-ROW($G$2:$G$43)+1),COLUMN($F$2:$F$43),4)))</f>
        <v/>
      </c>
      <c r="N3" s="223" t="str">
        <f t="array" aca="1" ref="N3" ca="1">IF(ROW()-ROW($H$2:$H$43)+1&gt;ROWS($G$2:$G$43)-COUNTBLANK($G$2:$G$43),"",INDIRECT(ADDRESS(SMALL((IF($G$2:$G$43&lt;&gt;"",ROW($G$2:$G$43),ROW()+ROWS($G$2:$G$43))),ROW()-ROW($H$2:$H$43)+1),COLUMN($G$2:$G$43),4)))</f>
        <v/>
      </c>
      <c r="O3" s="223" t="str">
        <f t="array" aca="1" ref="O3" ca="1">IF(ROW()-ROW($I$2:$I$43)+1&gt;ROWS($H$2:$H$43)-COUNTBLANK($H$2:$H$43),"",INDIRECT(ADDRESS(SMALL((IF($H$2:$H$43&lt;&gt;"",ROW($H$2:$H$43),ROW()+ROWS($H$2:$H$43))),ROW()-ROW($I$2:$I$43)+1),COLUMN($H$2:$H$43),4)))</f>
        <v/>
      </c>
      <c r="P3" s="223" t="str">
        <f t="array" aca="1" ref="P3" ca="1">IF(ROW()-ROW($J$2:$J$43)+1&gt;ROWS($I$2:$I$43)-COUNTBLANK($I$2:$I$43),"",INDIRECT(ADDRESS(SMALL((IF($I$2:$I$43&lt;&gt;"",ROW($I$2:$I$43),ROW()+ROWS($I$2:$I$43))),ROW()-ROW($J$2:$J$43)+1),COLUMN($I$2:$I$43),4)))</f>
        <v/>
      </c>
    </row>
    <row r="4" spans="1:16" s="8" customFormat="1" ht="23.1" customHeight="1" x14ac:dyDescent="0.25">
      <c r="A4" s="223" t="str">
        <f>IF(Berechnung2!$B$31&gt;3,IF(Berechnung2!$B$31=4,"EZ",IF(Berechnung2!$B$31&gt;4,"relevant","?")),"nicht relevant")</f>
        <v>nicht relevant</v>
      </c>
      <c r="B4" s="54" t="str">
        <f>CONCATENATE("2020;"," ")</f>
        <v xml:space="preserve">2020; </v>
      </c>
      <c r="C4" s="44"/>
      <c r="D4" s="1035"/>
      <c r="E4" s="297" t="str">
        <f>IF(H4="","","2020")</f>
        <v/>
      </c>
      <c r="F4" s="54" t="str">
        <f>IF(H4="","","a")</f>
        <v/>
      </c>
      <c r="G4" s="314" t="str">
        <f t="shared" si="0"/>
        <v/>
      </c>
      <c r="H4" s="316" t="str">
        <f>IF(A4="relevant",IF(COUNTIF(Matrix!D22:M22,"")&gt;3,Berechnung2!$L$38,""),"")</f>
        <v/>
      </c>
      <c r="I4" s="218" t="str">
        <f>IF(H4="","",VLOOKUP(F4,Berechnung2!$I$15:$J$25,2,FALSE))</f>
        <v/>
      </c>
      <c r="J4" s="318" t="str">
        <f t="shared" si="1"/>
        <v/>
      </c>
      <c r="L4" s="223" t="str">
        <f t="array" aca="1" ref="L4" ca="1">IF(ROW()-ROW($F$2:$F$43)+1&gt;ROWS($E$2:$E$43)-COUNTBLANK($E$2:$E$43),"",INDIRECT(ADDRESS(SMALL((IF($E$2:$E$43&lt;&gt;"",ROW($E$2:$E$43),ROW()+ROWS($E$2:$E$43))),ROW()-ROW($F$2:$F$43)+1),COLUMN($E$2:$E$43),4)))</f>
        <v/>
      </c>
      <c r="M4" s="223" t="str">
        <f t="array" aca="1" ref="M4" ca="1">IF(ROW()-ROW($G$2:$G$43)+1&gt;ROWS($F$2:$F$43)-COUNTBLANK($F$2:$F$43),"",INDIRECT(ADDRESS(SMALL((IF($F$2:$F$43&lt;&gt;"",ROW($F$2:$F$43),ROW()+ROWS($F$2:$F$43))),ROW()-ROW($G$2:$G$43)+1),COLUMN($F$2:$F$43),4)))</f>
        <v/>
      </c>
      <c r="N4" s="223" t="str">
        <f t="array" aca="1" ref="N4" ca="1">IF(ROW()-ROW($H$2:$H$43)+1&gt;ROWS($G$2:$G$43)-COUNTBLANK($G$2:$G$43),"",INDIRECT(ADDRESS(SMALL((IF($G$2:$G$43&lt;&gt;"",ROW($G$2:$G$43),ROW()+ROWS($G$2:$G$43))),ROW()-ROW($H$2:$H$43)+1),COLUMN($G$2:$G$43),4)))</f>
        <v/>
      </c>
      <c r="O4" s="223" t="str">
        <f t="array" aca="1" ref="O4" ca="1">IF(ROW()-ROW($I$2:$I$43)+1&gt;ROWS($H$2:$H$43)-COUNTBLANK($H$2:$H$43),"",INDIRECT(ADDRESS(SMALL((IF($H$2:$H$43&lt;&gt;"",ROW($H$2:$H$43),ROW()+ROWS($H$2:$H$43))),ROW()-ROW($I$2:$I$43)+1),COLUMN($H$2:$H$43),4)))</f>
        <v/>
      </c>
      <c r="P4" s="223" t="str">
        <f t="array" aca="1" ref="P4" ca="1">IF(ROW()-ROW($J$2:$J$43)+1&gt;ROWS($I$2:$I$43)-COUNTBLANK($I$2:$I$43),"",INDIRECT(ADDRESS(SMALL((IF($I$2:$I$43&lt;&gt;"",ROW($I$2:$I$43),ROW()+ROWS($I$2:$I$43))),ROW()-ROW($J$2:$J$43)+1),COLUMN($I$2:$I$43),4)))</f>
        <v/>
      </c>
    </row>
    <row r="5" spans="1:16" s="8" customFormat="1" ht="23.1" customHeight="1" x14ac:dyDescent="0.25">
      <c r="A5" s="223" t="str">
        <f>IF(Berechnung2!$B$31&gt;2,IF(Berechnung2!$B$31=3,"EZ",IF(Berechnung2!$B$31&gt;3,"relevant","?")),"nicht relevant")</f>
        <v>nicht relevant</v>
      </c>
      <c r="B5" s="54" t="str">
        <f>CONCATENATE("2021;"," ")</f>
        <v xml:space="preserve">2021; </v>
      </c>
      <c r="C5" s="44"/>
      <c r="D5" s="1035"/>
      <c r="E5" s="297" t="str">
        <f>IF(H5="","","2021")</f>
        <v/>
      </c>
      <c r="F5" s="54" t="str">
        <f>IF(H5="","","a")</f>
        <v/>
      </c>
      <c r="G5" s="314" t="str">
        <f t="shared" si="0"/>
        <v/>
      </c>
      <c r="H5" s="316" t="str">
        <f>IF(A5="relevant",IF(COUNTIF(Matrix!D23:M23,"")&gt;3,Berechnung2!$L$38,""),"")</f>
        <v/>
      </c>
      <c r="I5" s="218" t="str">
        <f>IF(H5="","",VLOOKUP(F5,Berechnung2!$I$15:$J$25,2,FALSE))</f>
        <v/>
      </c>
      <c r="J5" s="318" t="str">
        <f t="shared" si="1"/>
        <v/>
      </c>
      <c r="L5" s="223" t="str">
        <f t="array" aca="1" ref="L5" ca="1">IF(ROW()-ROW($F$2:$F$43)+1&gt;ROWS($E$2:$E$43)-COUNTBLANK($E$2:$E$43),"",INDIRECT(ADDRESS(SMALL((IF($E$2:$E$43&lt;&gt;"",ROW($E$2:$E$43),ROW()+ROWS($E$2:$E$43))),ROW()-ROW($F$2:$F$43)+1),COLUMN($E$2:$E$43),4)))</f>
        <v/>
      </c>
      <c r="M5" s="223" t="str">
        <f t="array" aca="1" ref="M5" ca="1">IF(ROW()-ROW($G$2:$G$43)+1&gt;ROWS($F$2:$F$43)-COUNTBLANK($F$2:$F$43),"",INDIRECT(ADDRESS(SMALL((IF($F$2:$F$43&lt;&gt;"",ROW($F$2:$F$43),ROW()+ROWS($F$2:$F$43))),ROW()-ROW($G$2:$G$43)+1),COLUMN($F$2:$F$43),4)))</f>
        <v/>
      </c>
      <c r="N5" s="223" t="str">
        <f t="array" aca="1" ref="N5" ca="1">IF(ROW()-ROW($H$2:$H$43)+1&gt;ROWS($G$2:$G$43)-COUNTBLANK($G$2:$G$43),"",INDIRECT(ADDRESS(SMALL((IF($G$2:$G$43&lt;&gt;"",ROW($G$2:$G$43),ROW()+ROWS($G$2:$G$43))),ROW()-ROW($H$2:$H$43)+1),COLUMN($G$2:$G$43),4)))</f>
        <v/>
      </c>
      <c r="O5" s="223" t="str">
        <f t="array" aca="1" ref="O5" ca="1">IF(ROW()-ROW($I$2:$I$43)+1&gt;ROWS($H$2:$H$43)-COUNTBLANK($H$2:$H$43),"",INDIRECT(ADDRESS(SMALL((IF($H$2:$H$43&lt;&gt;"",ROW($H$2:$H$43),ROW()+ROWS($H$2:$H$43))),ROW()-ROW($I$2:$I$43)+1),COLUMN($H$2:$H$43),4)))</f>
        <v/>
      </c>
      <c r="P5" s="223" t="str">
        <f t="array" aca="1" ref="P5" ca="1">IF(ROW()-ROW($J$2:$J$43)+1&gt;ROWS($I$2:$I$43)-COUNTBLANK($I$2:$I$43),"",INDIRECT(ADDRESS(SMALL((IF($I$2:$I$43&lt;&gt;"",ROW($I$2:$I$43),ROW()+ROWS($I$2:$I$43))),ROW()-ROW($J$2:$J$43)+1),COLUMN($I$2:$I$43),4)))</f>
        <v/>
      </c>
    </row>
    <row r="6" spans="1:16" s="8" customFormat="1" ht="23.1" customHeight="1" thickBot="1" x14ac:dyDescent="0.3">
      <c r="A6" s="223" t="str">
        <f>IF(Berechnung2!$B$31&gt;1,IF(Berechnung2!$B$31=2,"EZ",IF(Berechnung2!$B$31&gt;2,"relevant","?")),"nicht relevant")</f>
        <v>nicht relevant</v>
      </c>
      <c r="B6" s="54" t="str">
        <f>CONCATENATE("2022;"," ")</f>
        <v xml:space="preserve">2022; </v>
      </c>
      <c r="C6" s="44"/>
      <c r="D6" s="205" t="s">
        <v>422</v>
      </c>
      <c r="E6" s="327" t="str">
        <f>IF(H6="","","2022")</f>
        <v/>
      </c>
      <c r="F6" s="328" t="str">
        <f>IF(H6="","","a")</f>
        <v/>
      </c>
      <c r="G6" s="329" t="str">
        <f t="shared" si="0"/>
        <v/>
      </c>
      <c r="H6" s="330" t="str">
        <f>IF(A6="relevant",IF(COUNTIF(Matrix!D24:M24,"")&gt;3,Berechnung2!$L$38,""),"")</f>
        <v/>
      </c>
      <c r="I6" s="331" t="str">
        <f>IF(H6="","",VLOOKUP(F6,Berechnung2!$I$15:$J$25,2,FALSE))</f>
        <v/>
      </c>
      <c r="J6" s="332" t="str">
        <f t="shared" si="1"/>
        <v/>
      </c>
      <c r="L6" s="223" t="str">
        <f t="array" aca="1" ref="L6" ca="1">IF(ROW()-ROW($F$2:$F$43)+1&gt;ROWS($E$2:$E$43)-COUNTBLANK($E$2:$E$43),"",INDIRECT(ADDRESS(SMALL((IF($E$2:$E$43&lt;&gt;"",ROW($E$2:$E$43),ROW()+ROWS($E$2:$E$43))),ROW()-ROW($F$2:$F$43)+1),COLUMN($E$2:$E$43),4)))</f>
        <v/>
      </c>
      <c r="M6" s="223" t="str">
        <f t="array" aca="1" ref="M6" ca="1">IF(ROW()-ROW($G$2:$G$43)+1&gt;ROWS($F$2:$F$43)-COUNTBLANK($F$2:$F$43),"",INDIRECT(ADDRESS(SMALL((IF($F$2:$F$43&lt;&gt;"",ROW($F$2:$F$43),ROW()+ROWS($F$2:$F$43))),ROW()-ROW($G$2:$G$43)+1),COLUMN($F$2:$F$43),4)))</f>
        <v/>
      </c>
      <c r="N6" s="223" t="str">
        <f t="array" aca="1" ref="N6" ca="1">IF(ROW()-ROW($H$2:$H$43)+1&gt;ROWS($G$2:$G$43)-COUNTBLANK($G$2:$G$43),"",INDIRECT(ADDRESS(SMALL((IF($G$2:$G$43&lt;&gt;"",ROW($G$2:$G$43),ROW()+ROWS($G$2:$G$43))),ROW()-ROW($H$2:$H$43)+1),COLUMN($G$2:$G$43),4)))</f>
        <v/>
      </c>
      <c r="O6" s="223" t="str">
        <f t="array" aca="1" ref="O6" ca="1">IF(ROW()-ROW($I$2:$I$43)+1&gt;ROWS($H$2:$H$43)-COUNTBLANK($H$2:$H$43),"",INDIRECT(ADDRESS(SMALL((IF($H$2:$H$43&lt;&gt;"",ROW($H$2:$H$43),ROW()+ROWS($H$2:$H$43))),ROW()-ROW($I$2:$I$43)+1),COLUMN($H$2:$H$43),4)))</f>
        <v/>
      </c>
      <c r="P6" s="223" t="str">
        <f t="array" aca="1" ref="P6" ca="1">IF(ROW()-ROW($J$2:$J$43)+1&gt;ROWS($I$2:$I$43)-COUNTBLANK($I$2:$I$43),"",INDIRECT(ADDRESS(SMALL((IF($I$2:$I$43&lt;&gt;"",ROW($I$2:$I$43),ROW()+ROWS($I$2:$I$43))),ROW()-ROW($J$2:$J$43)+1),COLUMN($I$2:$I$43),4)))</f>
        <v/>
      </c>
    </row>
    <row r="7" spans="1:16" s="8" customFormat="1" ht="30.75" customHeight="1" x14ac:dyDescent="0.25">
      <c r="D7" s="312" t="s">
        <v>100</v>
      </c>
      <c r="E7" s="296" t="str">
        <f>IF(H7="","","2018")</f>
        <v/>
      </c>
      <c r="F7" s="224" t="str">
        <f>IF(H7="","","b")</f>
        <v/>
      </c>
      <c r="G7" s="224" t="str">
        <f t="shared" si="0"/>
        <v/>
      </c>
      <c r="H7" s="213" t="str">
        <f>IF(A2="relevant",IF(Matrix!F20="","",IF(Matrix!F20&gt;Matrix!D20,Berechnung2!$L$43,"")),"")</f>
        <v/>
      </c>
      <c r="I7" s="217" t="str">
        <f>IF(H7="","",VLOOKUP(F7,Berechnung2!$I$15:$J$25,2,FALSE))</f>
        <v/>
      </c>
      <c r="J7" s="237" t="str">
        <f t="shared" si="1"/>
        <v/>
      </c>
      <c r="K7" s="210"/>
      <c r="L7" s="223" t="str">
        <f t="array" aca="1" ref="L7" ca="1">IF(ROW()-ROW($F$2:$F$43)+1&gt;ROWS($E$2:$E$43)-COUNTBLANK($E$2:$E$43),"",INDIRECT(ADDRESS(SMALL((IF($E$2:$E$43&lt;&gt;"",ROW($E$2:$E$43),ROW()+ROWS($E$2:$E$43))),ROW()-ROW($F$2:$F$43)+1),COLUMN($E$2:$E$43),4)))</f>
        <v/>
      </c>
      <c r="M7" s="223" t="str">
        <f t="array" aca="1" ref="M7" ca="1">IF(ROW()-ROW($G$2:$G$43)+1&gt;ROWS($F$2:$F$43)-COUNTBLANK($F$2:$F$43),"",INDIRECT(ADDRESS(SMALL((IF($F$2:$F$43&lt;&gt;"",ROW($F$2:$F$43),ROW()+ROWS($F$2:$F$43))),ROW()-ROW($G$2:$G$43)+1),COLUMN($F$2:$F$43),4)))</f>
        <v/>
      </c>
      <c r="N7" s="223" t="str">
        <f t="array" aca="1" ref="N7" ca="1">IF(ROW()-ROW($H$2:$H$43)+1&gt;ROWS($G$2:$G$43)-COUNTBLANK($G$2:$G$43),"",INDIRECT(ADDRESS(SMALL((IF($G$2:$G$43&lt;&gt;"",ROW($G$2:$G$43),ROW()+ROWS($G$2:$G$43))),ROW()-ROW($H$2:$H$43)+1),COLUMN($G$2:$G$43),4)))</f>
        <v/>
      </c>
      <c r="O7" s="223" t="str">
        <f t="array" aca="1" ref="O7" ca="1">IF(ROW()-ROW($I$2:$I$43)+1&gt;ROWS($H$2:$H$43)-COUNTBLANK($H$2:$H$43),"",INDIRECT(ADDRESS(SMALL((IF($H$2:$H$43&lt;&gt;"",ROW($H$2:$H$43),ROW()+ROWS($H$2:$H$43))),ROW()-ROW($I$2:$I$43)+1),COLUMN($H$2:$H$43),4)))</f>
        <v/>
      </c>
      <c r="P7" s="223" t="str">
        <f t="array" aca="1" ref="P7" ca="1">IF(ROW()-ROW($J$2:$J$43)+1&gt;ROWS($I$2:$I$43)-COUNTBLANK($I$2:$I$43),"",INDIRECT(ADDRESS(SMALL((IF($I$2:$I$43&lt;&gt;"",ROW($I$2:$I$43),ROW()+ROWS($I$2:$I$43))),ROW()-ROW($J$2:$J$43)+1),COLUMN($I$2:$I$43),4)))</f>
        <v/>
      </c>
    </row>
    <row r="8" spans="1:16" s="8" customFormat="1" ht="23.1" customHeight="1" x14ac:dyDescent="0.25">
      <c r="D8" s="1035" t="s">
        <v>367</v>
      </c>
      <c r="E8" s="297" t="str">
        <f>IF(H8="","","2019")</f>
        <v/>
      </c>
      <c r="F8" s="54" t="str">
        <f>IF(H8="","","b")</f>
        <v/>
      </c>
      <c r="G8" s="54" t="str">
        <f t="shared" si="0"/>
        <v/>
      </c>
      <c r="H8" s="204" t="str">
        <f>IF(A3="relevant",IF(Matrix!F21="","",IF(Matrix!F21&gt;Matrix!D21,Berechnung2!$L$43,"")),"")</f>
        <v/>
      </c>
      <c r="I8" s="218" t="str">
        <f>IF(H8="","",VLOOKUP(F8,Berechnung2!$I$15:$J$25,2,FALSE))</f>
        <v/>
      </c>
      <c r="J8" s="238" t="str">
        <f t="shared" si="1"/>
        <v/>
      </c>
      <c r="K8" s="210"/>
      <c r="L8" s="223" t="str">
        <f t="array" aca="1" ref="L8" ca="1">IF(ROW()-ROW($F$2:$F$43)+1&gt;ROWS($E$2:$E$43)-COUNTBLANK($E$2:$E$43),"",INDIRECT(ADDRESS(SMALL((IF($E$2:$E$43&lt;&gt;"",ROW($E$2:$E$43),ROW()+ROWS($E$2:$E$43))),ROW()-ROW($F$2:$F$43)+1),COLUMN($E$2:$E$43),4)))</f>
        <v/>
      </c>
      <c r="M8" s="223" t="str">
        <f t="array" aca="1" ref="M8" ca="1">IF(ROW()-ROW($G$2:$G$43)+1&gt;ROWS($F$2:$F$43)-COUNTBLANK($F$2:$F$43),"",INDIRECT(ADDRESS(SMALL((IF($F$2:$F$43&lt;&gt;"",ROW($F$2:$F$43),ROW()+ROWS($F$2:$F$43))),ROW()-ROW($G$2:$G$43)+1),COLUMN($F$2:$F$43),4)))</f>
        <v/>
      </c>
      <c r="N8" s="223" t="str">
        <f t="array" aca="1" ref="N8" ca="1">IF(ROW()-ROW($H$2:$H$43)+1&gt;ROWS($G$2:$G$43)-COUNTBLANK($G$2:$G$43),"",INDIRECT(ADDRESS(SMALL((IF($G$2:$G$43&lt;&gt;"",ROW($G$2:$G$43),ROW()+ROWS($G$2:$G$43))),ROW()-ROW($H$2:$H$43)+1),COLUMN($G$2:$G$43),4)))</f>
        <v/>
      </c>
      <c r="O8" s="223" t="str">
        <f t="array" aca="1" ref="O8" ca="1">IF(ROW()-ROW($I$2:$I$43)+1&gt;ROWS($H$2:$H$43)-COUNTBLANK($H$2:$H$43),"",INDIRECT(ADDRESS(SMALL((IF($H$2:$H$43&lt;&gt;"",ROW($H$2:$H$43),ROW()+ROWS($H$2:$H$43))),ROW()-ROW($I$2:$I$43)+1),COLUMN($H$2:$H$43),4)))</f>
        <v/>
      </c>
      <c r="P8" s="223" t="str">
        <f t="array" aca="1" ref="P8" ca="1">IF(ROW()-ROW($J$2:$J$43)+1&gt;ROWS($I$2:$I$43)-COUNTBLANK($I$2:$I$43),"",INDIRECT(ADDRESS(SMALL((IF($I$2:$I$43&lt;&gt;"",ROW($I$2:$I$43),ROW()+ROWS($I$2:$I$43))),ROW()-ROW($J$2:$J$43)+1),COLUMN($I$2:$I$43),4)))</f>
        <v/>
      </c>
    </row>
    <row r="9" spans="1:16" s="8" customFormat="1" ht="23.1" customHeight="1" x14ac:dyDescent="0.25">
      <c r="D9" s="1035"/>
      <c r="E9" s="297" t="str">
        <f>IF(H9="","","2020")</f>
        <v/>
      </c>
      <c r="F9" s="54" t="str">
        <f>IF(H9="","","b")</f>
        <v/>
      </c>
      <c r="G9" s="54" t="str">
        <f t="shared" si="0"/>
        <v/>
      </c>
      <c r="H9" s="204" t="str">
        <f>IF(A4="relevant",IF(Matrix!F22="","",IF(Matrix!F22&gt;Matrix!D22,Berechnung2!$L$43,"")),"")</f>
        <v/>
      </c>
      <c r="I9" s="218" t="str">
        <f>IF(H9="","",VLOOKUP(F9,Berechnung2!$I$15:$J$25,2,FALSE))</f>
        <v/>
      </c>
      <c r="J9" s="238" t="str">
        <f t="shared" si="1"/>
        <v/>
      </c>
      <c r="K9" s="210"/>
      <c r="L9" s="223" t="str">
        <f t="array" aca="1" ref="L9" ca="1">IF(ROW()-ROW($F$2:$F$43)+1&gt;ROWS($E$2:$E$43)-COUNTBLANK($E$2:$E$43),"",INDIRECT(ADDRESS(SMALL((IF($E$2:$E$43&lt;&gt;"",ROW($E$2:$E$43),ROW()+ROWS($E$2:$E$43))),ROW()-ROW($F$2:$F$43)+1),COLUMN($E$2:$E$43),4)))</f>
        <v/>
      </c>
      <c r="M9" s="223" t="str">
        <f t="array" aca="1" ref="M9" ca="1">IF(ROW()-ROW($G$2:$G$43)+1&gt;ROWS($F$2:$F$43)-COUNTBLANK($F$2:$F$43),"",INDIRECT(ADDRESS(SMALL((IF($F$2:$F$43&lt;&gt;"",ROW($F$2:$F$43),ROW()+ROWS($F$2:$F$43))),ROW()-ROW($G$2:$G$43)+1),COLUMN($F$2:$F$43),4)))</f>
        <v/>
      </c>
      <c r="N9" s="223" t="str">
        <f t="array" aca="1" ref="N9" ca="1">IF(ROW()-ROW($H$2:$H$43)+1&gt;ROWS($G$2:$G$43)-COUNTBLANK($G$2:$G$43),"",INDIRECT(ADDRESS(SMALL((IF($G$2:$G$43&lt;&gt;"",ROW($G$2:$G$43),ROW()+ROWS($G$2:$G$43))),ROW()-ROW($H$2:$H$43)+1),COLUMN($G$2:$G$43),4)))</f>
        <v/>
      </c>
      <c r="O9" s="223" t="str">
        <f t="array" aca="1" ref="O9" ca="1">IF(ROW()-ROW($I$2:$I$43)+1&gt;ROWS($H$2:$H$43)-COUNTBLANK($H$2:$H$43),"",INDIRECT(ADDRESS(SMALL((IF($H$2:$H$43&lt;&gt;"",ROW($H$2:$H$43),ROW()+ROWS($H$2:$H$43))),ROW()-ROW($I$2:$I$43)+1),COLUMN($H$2:$H$43),4)))</f>
        <v/>
      </c>
      <c r="P9" s="223" t="str">
        <f t="array" aca="1" ref="P9" ca="1">IF(ROW()-ROW($J$2:$J$43)+1&gt;ROWS($I$2:$I$43)-COUNTBLANK($I$2:$I$43),"",INDIRECT(ADDRESS(SMALL((IF($I$2:$I$43&lt;&gt;"",ROW($I$2:$I$43),ROW()+ROWS($I$2:$I$43))),ROW()-ROW($J$2:$J$43)+1),COLUMN($I$2:$I$43),4)))</f>
        <v/>
      </c>
    </row>
    <row r="10" spans="1:16" s="8" customFormat="1" ht="23.1" customHeight="1" x14ac:dyDescent="0.25">
      <c r="D10" s="1035"/>
      <c r="E10" s="297" t="str">
        <f>IF(H10="","","2021")</f>
        <v/>
      </c>
      <c r="F10" s="54" t="str">
        <f>IF(H10="","","b")</f>
        <v/>
      </c>
      <c r="G10" s="54" t="str">
        <f t="shared" si="0"/>
        <v/>
      </c>
      <c r="H10" s="204" t="str">
        <f>IF(A5="relevant",IF(Matrix!F23="","",IF(Matrix!F23&gt;Matrix!D23,Berechnung2!$L$43,"")),"")</f>
        <v/>
      </c>
      <c r="I10" s="218" t="str">
        <f>IF(H10="","",VLOOKUP(F10,Berechnung2!$I$15:$J$25,2,FALSE))</f>
        <v/>
      </c>
      <c r="J10" s="238" t="str">
        <f t="shared" si="1"/>
        <v/>
      </c>
      <c r="K10" s="210"/>
      <c r="L10" s="223" t="str">
        <f t="array" aca="1" ref="L10" ca="1">IF(ROW()-ROW($F$2:$F$43)+1&gt;ROWS($E$2:$E$43)-COUNTBLANK($E$2:$E$43),"",INDIRECT(ADDRESS(SMALL((IF($E$2:$E$43&lt;&gt;"",ROW($E$2:$E$43),ROW()+ROWS($E$2:$E$43))),ROW()-ROW($F$2:$F$43)+1),COLUMN($E$2:$E$43),4)))</f>
        <v/>
      </c>
      <c r="M10" s="223" t="str">
        <f t="array" aca="1" ref="M10" ca="1">IF(ROW()-ROW($G$2:$G$43)+1&gt;ROWS($F$2:$F$43)-COUNTBLANK($F$2:$F$43),"",INDIRECT(ADDRESS(SMALL((IF($F$2:$F$43&lt;&gt;"",ROW($F$2:$F$43),ROW()+ROWS($F$2:$F$43))),ROW()-ROW($G$2:$G$43)+1),COLUMN($F$2:$F$43),4)))</f>
        <v/>
      </c>
      <c r="N10" s="223" t="str">
        <f t="array" aca="1" ref="N10" ca="1">IF(ROW()-ROW($H$2:$H$43)+1&gt;ROWS($G$2:$G$43)-COUNTBLANK($G$2:$G$43),"",INDIRECT(ADDRESS(SMALL((IF($G$2:$G$43&lt;&gt;"",ROW($G$2:$G$43),ROW()+ROWS($G$2:$G$43))),ROW()-ROW($H$2:$H$43)+1),COLUMN($G$2:$G$43),4)))</f>
        <v/>
      </c>
      <c r="O10" s="223" t="str">
        <f t="array" aca="1" ref="O10" ca="1">IF(ROW()-ROW($I$2:$I$43)+1&gt;ROWS($H$2:$H$43)-COUNTBLANK($H$2:$H$43),"",INDIRECT(ADDRESS(SMALL((IF($H$2:$H$43&lt;&gt;"",ROW($H$2:$H$43),ROW()+ROWS($H$2:$H$43))),ROW()-ROW($I$2:$I$43)+1),COLUMN($H$2:$H$43),4)))</f>
        <v/>
      </c>
      <c r="P10" s="223" t="str">
        <f t="array" aca="1" ref="P10" ca="1">IF(ROW()-ROW($J$2:$J$43)+1&gt;ROWS($I$2:$I$43)-COUNTBLANK($I$2:$I$43),"",INDIRECT(ADDRESS(SMALL((IF($I$2:$I$43&lt;&gt;"",ROW($I$2:$I$43),ROW()+ROWS($I$2:$I$43))),ROW()-ROW($J$2:$J$43)+1),COLUMN($I$2:$I$43),4)))</f>
        <v/>
      </c>
    </row>
    <row r="11" spans="1:16" s="8" customFormat="1" ht="23.1" customHeight="1" thickBot="1" x14ac:dyDescent="0.3">
      <c r="D11" s="205" t="s">
        <v>423</v>
      </c>
      <c r="E11" s="298" t="str">
        <f>IF(H11="","","2022")</f>
        <v/>
      </c>
      <c r="F11" s="225" t="str">
        <f>IF(H11="","","b")</f>
        <v/>
      </c>
      <c r="G11" s="225" t="str">
        <f t="shared" si="0"/>
        <v/>
      </c>
      <c r="H11" s="215" t="str">
        <f>IF(A6="relevant",IF(Matrix!F24="","",IF(Matrix!F24&gt;Matrix!D24,Berechnung2!$L$43,"")),"")</f>
        <v/>
      </c>
      <c r="I11" s="219" t="str">
        <f>IF(H11="","",VLOOKUP(F11,Berechnung2!$I$15:$J$25,2,FALSE))</f>
        <v/>
      </c>
      <c r="J11" s="239" t="str">
        <f t="shared" si="1"/>
        <v/>
      </c>
      <c r="K11" s="210"/>
      <c r="L11" s="223" t="str">
        <f t="array" aca="1" ref="L11" ca="1">IF(ROW()-ROW($F$2:$F$43)+1&gt;ROWS($E$2:$E$43)-COUNTBLANK($E$2:$E$43),"",INDIRECT(ADDRESS(SMALL((IF($E$2:$E$43&lt;&gt;"",ROW($E$2:$E$43),ROW()+ROWS($E$2:$E$43))),ROW()-ROW($F$2:$F$43)+1),COLUMN($E$2:$E$43),4)))</f>
        <v/>
      </c>
      <c r="M11" s="223" t="str">
        <f t="array" aca="1" ref="M11" ca="1">IF(ROW()-ROW($G$2:$G$43)+1&gt;ROWS($F$2:$F$43)-COUNTBLANK($F$2:$F$43),"",INDIRECT(ADDRESS(SMALL((IF($F$2:$F$43&lt;&gt;"",ROW($F$2:$F$43),ROW()+ROWS($F$2:$F$43))),ROW()-ROW($G$2:$G$43)+1),COLUMN($F$2:$F$43),4)))</f>
        <v/>
      </c>
      <c r="N11" s="223" t="str">
        <f t="array" aca="1" ref="N11" ca="1">IF(ROW()-ROW($H$2:$H$43)+1&gt;ROWS($G$2:$G$43)-COUNTBLANK($G$2:$G$43),"",INDIRECT(ADDRESS(SMALL((IF($G$2:$G$43&lt;&gt;"",ROW($G$2:$G$43),ROW()+ROWS($G$2:$G$43))),ROW()-ROW($H$2:$H$43)+1),COLUMN($G$2:$G$43),4)))</f>
        <v/>
      </c>
      <c r="O11" s="223" t="str">
        <f t="array" aca="1" ref="O11" ca="1">IF(ROW()-ROW($I$2:$I$43)+1&gt;ROWS($H$2:$H$43)-COUNTBLANK($H$2:$H$43),"",INDIRECT(ADDRESS(SMALL((IF($H$2:$H$43&lt;&gt;"",ROW($H$2:$H$43),ROW()+ROWS($H$2:$H$43))),ROW()-ROW($I$2:$I$43)+1),COLUMN($H$2:$H$43),4)))</f>
        <v/>
      </c>
      <c r="P11" s="223" t="str">
        <f t="array" aca="1" ref="P11" ca="1">IF(ROW()-ROW($J$2:$J$43)+1&gt;ROWS($I$2:$I$43)-COUNTBLANK($I$2:$I$43),"",INDIRECT(ADDRESS(SMALL((IF($I$2:$I$43&lt;&gt;"",ROW($I$2:$I$43),ROW()+ROWS($I$2:$I$43))),ROW()-ROW($J$2:$J$43)+1),COLUMN($I$2:$I$43),4)))</f>
        <v/>
      </c>
    </row>
    <row r="12" spans="1:16" s="8" customFormat="1" ht="23.1" customHeight="1" x14ac:dyDescent="0.25">
      <c r="D12" s="202" t="s">
        <v>100</v>
      </c>
      <c r="E12" s="212" t="str">
        <f>IF(H12="","","2018")</f>
        <v/>
      </c>
      <c r="F12" s="224" t="str">
        <f>IF(H12="","","c")</f>
        <v/>
      </c>
      <c r="G12" s="224" t="str">
        <f t="shared" si="0"/>
        <v/>
      </c>
      <c r="H12" s="213" t="str">
        <f>IF(A2="relevant",IF(Matrix!I20="","",IF(Matrix!I20&gt;Matrix!F20,Berechnung2!$L$44,"")),"")</f>
        <v/>
      </c>
      <c r="I12" s="217" t="str">
        <f>IF(H12="","",VLOOKUP(F12,Berechnung2!$I$15:$J$25,2,FALSE))</f>
        <v/>
      </c>
      <c r="J12" s="237" t="str">
        <f t="shared" si="1"/>
        <v/>
      </c>
      <c r="K12" s="210"/>
      <c r="L12" s="223" t="str">
        <f t="array" aca="1" ref="L12" ca="1">IF(ROW()-ROW($F$2:$F$43)+1&gt;ROWS($E$2:$E$43)-COUNTBLANK($E$2:$E$43),"",INDIRECT(ADDRESS(SMALL((IF($E$2:$E$43&lt;&gt;"",ROW($E$2:$E$43),ROW()+ROWS($E$2:$E$43))),ROW()-ROW($F$2:$F$43)+1),COLUMN($E$2:$E$43),4)))</f>
        <v/>
      </c>
      <c r="M12" s="223" t="str">
        <f t="array" aca="1" ref="M12" ca="1">IF(ROW()-ROW($G$2:$G$43)+1&gt;ROWS($F$2:$F$43)-COUNTBLANK($F$2:$F$43),"",INDIRECT(ADDRESS(SMALL((IF($F$2:$F$43&lt;&gt;"",ROW($F$2:$F$43),ROW()+ROWS($F$2:$F$43))),ROW()-ROW($G$2:$G$43)+1),COLUMN($F$2:$F$43),4)))</f>
        <v/>
      </c>
      <c r="N12" s="223" t="str">
        <f t="array" aca="1" ref="N12" ca="1">IF(ROW()-ROW($H$2:$H$43)+1&gt;ROWS($G$2:$G$43)-COUNTBLANK($G$2:$G$43),"",INDIRECT(ADDRESS(SMALL((IF($G$2:$G$43&lt;&gt;"",ROW($G$2:$G$43),ROW()+ROWS($G$2:$G$43))),ROW()-ROW($H$2:$H$43)+1),COLUMN($G$2:$G$43),4)))</f>
        <v/>
      </c>
      <c r="O12" s="223" t="str">
        <f t="array" aca="1" ref="O12" ca="1">IF(ROW()-ROW($I$2:$I$43)+1&gt;ROWS($H$2:$H$43)-COUNTBLANK($H$2:$H$43),"",INDIRECT(ADDRESS(SMALL((IF($H$2:$H$43&lt;&gt;"",ROW($H$2:$H$43),ROW()+ROWS($H$2:$H$43))),ROW()-ROW($I$2:$I$43)+1),COLUMN($H$2:$H$43),4)))</f>
        <v/>
      </c>
      <c r="P12" s="223" t="str">
        <f t="array" aca="1" ref="P12" ca="1">IF(ROW()-ROW($J$2:$J$43)+1&gt;ROWS($I$2:$I$43)-COUNTBLANK($I$2:$I$43),"",INDIRECT(ADDRESS(SMALL((IF($I$2:$I$43&lt;&gt;"",ROW($I$2:$I$43),ROW()+ROWS($I$2:$I$43))),ROW()-ROW($J$2:$J$43)+1),COLUMN($I$2:$I$43),4)))</f>
        <v/>
      </c>
    </row>
    <row r="13" spans="1:16" s="8" customFormat="1" ht="23.1" customHeight="1" x14ac:dyDescent="0.25">
      <c r="A13" s="211"/>
      <c r="B13" s="211"/>
      <c r="D13" s="1035" t="s">
        <v>365</v>
      </c>
      <c r="E13" s="203" t="str">
        <f>IF(H13="","","2019")</f>
        <v/>
      </c>
      <c r="F13" s="54" t="str">
        <f>IF(H13="","","c")</f>
        <v/>
      </c>
      <c r="G13" s="54" t="str">
        <f t="shared" si="0"/>
        <v/>
      </c>
      <c r="H13" s="204" t="str">
        <f>IF(A3="relevant",IF(Matrix!I21="","",IF(Matrix!I21&gt;Matrix!F21,Berechnung2!$L$44,"")),"")</f>
        <v/>
      </c>
      <c r="I13" s="218" t="str">
        <f>IF(H13="","",VLOOKUP(F13,Berechnung2!$I$15:$J$25,2,FALSE))</f>
        <v/>
      </c>
      <c r="J13" s="238" t="str">
        <f t="shared" si="1"/>
        <v/>
      </c>
      <c r="K13" s="210"/>
      <c r="L13" s="223" t="str">
        <f t="array" aca="1" ref="L13" ca="1">IF(ROW()-ROW($F$2:$F$43)+1&gt;ROWS($E$2:$E$43)-COUNTBLANK($E$2:$E$43),"",INDIRECT(ADDRESS(SMALL((IF($E$2:$E$43&lt;&gt;"",ROW($E$2:$E$43),ROW()+ROWS($E$2:$E$43))),ROW()-ROW($F$2:$F$43)+1),COLUMN($E$2:$E$43),4)))</f>
        <v/>
      </c>
      <c r="M13" s="223" t="str">
        <f t="array" aca="1" ref="M13" ca="1">IF(ROW()-ROW($G$2:$G$43)+1&gt;ROWS($F$2:$F$43)-COUNTBLANK($F$2:$F$43),"",INDIRECT(ADDRESS(SMALL((IF($F$2:$F$43&lt;&gt;"",ROW($F$2:$F$43),ROW()+ROWS($F$2:$F$43))),ROW()-ROW($G$2:$G$43)+1),COLUMN($F$2:$F$43),4)))</f>
        <v/>
      </c>
      <c r="N13" s="223" t="str">
        <f t="array" aca="1" ref="N13" ca="1">IF(ROW()-ROW($H$2:$H$43)+1&gt;ROWS($G$2:$G$43)-COUNTBLANK($G$2:$G$43),"",INDIRECT(ADDRESS(SMALL((IF($G$2:$G$43&lt;&gt;"",ROW($G$2:$G$43),ROW()+ROWS($G$2:$G$43))),ROW()-ROW($H$2:$H$43)+1),COLUMN($G$2:$G$43),4)))</f>
        <v/>
      </c>
      <c r="O13" s="223" t="str">
        <f t="array" aca="1" ref="O13" ca="1">IF(ROW()-ROW($I$2:$I$43)+1&gt;ROWS($H$2:$H$43)-COUNTBLANK($H$2:$H$43),"",INDIRECT(ADDRESS(SMALL((IF($H$2:$H$43&lt;&gt;"",ROW($H$2:$H$43),ROW()+ROWS($H$2:$H$43))),ROW()-ROW($I$2:$I$43)+1),COLUMN($H$2:$H$43),4)))</f>
        <v/>
      </c>
      <c r="P13" s="223" t="str">
        <f t="array" aca="1" ref="P13" ca="1">IF(ROW()-ROW($J$2:$J$43)+1&gt;ROWS($I$2:$I$43)-COUNTBLANK($I$2:$I$43),"",INDIRECT(ADDRESS(SMALL((IF($I$2:$I$43&lt;&gt;"",ROW($I$2:$I$43),ROW()+ROWS($I$2:$I$43))),ROW()-ROW($J$2:$J$43)+1),COLUMN($I$2:$I$43),4)))</f>
        <v/>
      </c>
    </row>
    <row r="14" spans="1:16" ht="23.1" customHeight="1" x14ac:dyDescent="0.25">
      <c r="D14" s="1035"/>
      <c r="E14" s="203" t="str">
        <f>IF(H14="","","2020")</f>
        <v/>
      </c>
      <c r="F14" s="54" t="str">
        <f>IF(H14="","","c")</f>
        <v/>
      </c>
      <c r="G14" s="54" t="str">
        <f t="shared" si="0"/>
        <v/>
      </c>
      <c r="H14" s="204" t="str">
        <f>IF(A4="relevant",IF(Matrix!I22="","",IF(Matrix!I22&gt;Matrix!F22,Berechnung2!$L$44,"")),"")</f>
        <v/>
      </c>
      <c r="I14" s="218" t="str">
        <f>IF(H14="","",VLOOKUP(F14,Berechnung2!$I$15:$J$25,2,FALSE))</f>
        <v/>
      </c>
      <c r="J14" s="238" t="str">
        <f t="shared" si="1"/>
        <v/>
      </c>
      <c r="L14" s="223" t="str">
        <f t="array" aca="1" ref="L14" ca="1">IF(ROW()-ROW($F$2:$F$43)+1&gt;ROWS($E$2:$E$43)-COUNTBLANK($E$2:$E$43),"",INDIRECT(ADDRESS(SMALL((IF($E$2:$E$43&lt;&gt;"",ROW($E$2:$E$43),ROW()+ROWS($E$2:$E$43))),ROW()-ROW($F$2:$F$43)+1),COLUMN($E$2:$E$43),4)))</f>
        <v/>
      </c>
      <c r="M14" s="223" t="str">
        <f t="array" aca="1" ref="M14" ca="1">IF(ROW()-ROW($G$2:$G$43)+1&gt;ROWS($F$2:$F$43)-COUNTBLANK($F$2:$F$43),"",INDIRECT(ADDRESS(SMALL((IF($F$2:$F$43&lt;&gt;"",ROW($F$2:$F$43),ROW()+ROWS($F$2:$F$43))),ROW()-ROW($G$2:$G$43)+1),COLUMN($F$2:$F$43),4)))</f>
        <v/>
      </c>
      <c r="N14" s="223" t="str">
        <f t="array" aca="1" ref="N14" ca="1">IF(ROW()-ROW($H$2:$H$43)+1&gt;ROWS($G$2:$G$43)-COUNTBLANK($G$2:$G$43),"",INDIRECT(ADDRESS(SMALL((IF($G$2:$G$43&lt;&gt;"",ROW($G$2:$G$43),ROW()+ROWS($G$2:$G$43))),ROW()-ROW($H$2:$H$43)+1),COLUMN($G$2:$G$43),4)))</f>
        <v/>
      </c>
      <c r="O14" s="223" t="str">
        <f t="array" aca="1" ref="O14" ca="1">IF(ROW()-ROW($I$2:$I$43)+1&gt;ROWS($H$2:$H$43)-COUNTBLANK($H$2:$H$43),"",INDIRECT(ADDRESS(SMALL((IF($H$2:$H$43&lt;&gt;"",ROW($H$2:$H$43),ROW()+ROWS($H$2:$H$43))),ROW()-ROW($I$2:$I$43)+1),COLUMN($H$2:$H$43),4)))</f>
        <v/>
      </c>
      <c r="P14" s="223" t="str">
        <f t="array" aca="1" ref="P14" ca="1">IF(ROW()-ROW($J$2:$J$43)+1&gt;ROWS($I$2:$I$43)-COUNTBLANK($I$2:$I$43),"",INDIRECT(ADDRESS(SMALL((IF($I$2:$I$43&lt;&gt;"",ROW($I$2:$I$43),ROW()+ROWS($I$2:$I$43))),ROW()-ROW($J$2:$J$43)+1),COLUMN($I$2:$I$43),4)))</f>
        <v/>
      </c>
    </row>
    <row r="15" spans="1:16" ht="23.1" customHeight="1" x14ac:dyDescent="0.25">
      <c r="D15" s="1035"/>
      <c r="E15" s="203" t="str">
        <f>IF(H15="","","2021")</f>
        <v/>
      </c>
      <c r="F15" s="54" t="str">
        <f>IF(H15="","","c")</f>
        <v/>
      </c>
      <c r="G15" s="54" t="str">
        <f t="shared" si="0"/>
        <v/>
      </c>
      <c r="H15" s="204" t="str">
        <f>IF(A5="relevant",IF(Matrix!I23="","",IF(Matrix!I23&gt;Matrix!F23,Berechnung2!$L$44,"")),"")</f>
        <v/>
      </c>
      <c r="I15" s="218" t="str">
        <f>IF(H15="","",VLOOKUP(F15,Berechnung2!$I$15:$J$25,2,FALSE))</f>
        <v/>
      </c>
      <c r="J15" s="238" t="str">
        <f t="shared" si="1"/>
        <v/>
      </c>
      <c r="L15" s="223" t="str">
        <f t="array" aca="1" ref="L15" ca="1">IF(ROW()-ROW($F$2:$F$43)+1&gt;ROWS($E$2:$E$43)-COUNTBLANK($E$2:$E$43),"",INDIRECT(ADDRESS(SMALL((IF($E$2:$E$43&lt;&gt;"",ROW($E$2:$E$43),ROW()+ROWS($E$2:$E$43))),ROW()-ROW($F$2:$F$43)+1),COLUMN($E$2:$E$43),4)))</f>
        <v/>
      </c>
      <c r="M15" s="223" t="str">
        <f t="array" aca="1" ref="M15" ca="1">IF(ROW()-ROW($G$2:$G$43)+1&gt;ROWS($F$2:$F$43)-COUNTBLANK($F$2:$F$43),"",INDIRECT(ADDRESS(SMALL((IF($F$2:$F$43&lt;&gt;"",ROW($F$2:$F$43),ROW()+ROWS($F$2:$F$43))),ROW()-ROW($G$2:$G$43)+1),COLUMN($F$2:$F$43),4)))</f>
        <v/>
      </c>
      <c r="N15" s="223" t="str">
        <f t="array" aca="1" ref="N15" ca="1">IF(ROW()-ROW($H$2:$H$43)+1&gt;ROWS($G$2:$G$43)-COUNTBLANK($G$2:$G$43),"",INDIRECT(ADDRESS(SMALL((IF($G$2:$G$43&lt;&gt;"",ROW($G$2:$G$43),ROW()+ROWS($G$2:$G$43))),ROW()-ROW($H$2:$H$43)+1),COLUMN($G$2:$G$43),4)))</f>
        <v/>
      </c>
      <c r="O15" s="223" t="str">
        <f t="array" aca="1" ref="O15" ca="1">IF(ROW()-ROW($I$2:$I$43)+1&gt;ROWS($H$2:$H$43)-COUNTBLANK($H$2:$H$43),"",INDIRECT(ADDRESS(SMALL((IF($H$2:$H$43&lt;&gt;"",ROW($H$2:$H$43),ROW()+ROWS($H$2:$H$43))),ROW()-ROW($I$2:$I$43)+1),COLUMN($H$2:$H$43),4)))</f>
        <v/>
      </c>
      <c r="P15" s="223" t="str">
        <f t="array" aca="1" ref="P15" ca="1">IF(ROW()-ROW($J$2:$J$43)+1&gt;ROWS($I$2:$I$43)-COUNTBLANK($I$2:$I$43),"",INDIRECT(ADDRESS(SMALL((IF($I$2:$I$43&lt;&gt;"",ROW($I$2:$I$43),ROW()+ROWS($I$2:$I$43))),ROW()-ROW($J$2:$J$43)+1),COLUMN($I$2:$I$43),4)))</f>
        <v/>
      </c>
    </row>
    <row r="16" spans="1:16" ht="23.1" customHeight="1" thickBot="1" x14ac:dyDescent="0.3">
      <c r="D16" s="205" t="s">
        <v>424</v>
      </c>
      <c r="E16" s="214" t="str">
        <f>IF(H16="","","2022")</f>
        <v/>
      </c>
      <c r="F16" s="225" t="str">
        <f>IF(H16="","","c")</f>
        <v/>
      </c>
      <c r="G16" s="225" t="str">
        <f t="shared" si="0"/>
        <v/>
      </c>
      <c r="H16" s="215" t="str">
        <f>IF(A6="relevant",IF(Matrix!I24="","",IF(Matrix!I24&gt;Matrix!F24,Berechnung2!$L$44,"")),"")</f>
        <v/>
      </c>
      <c r="I16" s="219" t="str">
        <f>IF(H16="","",VLOOKUP(F16,Berechnung2!$I$15:$J$25,2,FALSE))</f>
        <v/>
      </c>
      <c r="J16" s="239" t="str">
        <f t="shared" si="1"/>
        <v/>
      </c>
      <c r="L16" s="223" t="str">
        <f t="array" aca="1" ref="L16" ca="1">IF(ROW()-ROW($F$2:$F$43)+1&gt;ROWS($E$2:$E$43)-COUNTBLANK($E$2:$E$43),"",INDIRECT(ADDRESS(SMALL((IF($E$2:$E$43&lt;&gt;"",ROW($E$2:$E$43),ROW()+ROWS($E$2:$E$43))),ROW()-ROW($F$2:$F$43)+1),COLUMN($E$2:$E$43),4)))</f>
        <v/>
      </c>
      <c r="M16" s="223" t="str">
        <f t="array" aca="1" ref="M16" ca="1">IF(ROW()-ROW($G$2:$G$43)+1&gt;ROWS($F$2:$F$43)-COUNTBLANK($F$2:$F$43),"",INDIRECT(ADDRESS(SMALL((IF($F$2:$F$43&lt;&gt;"",ROW($F$2:$F$43),ROW()+ROWS($F$2:$F$43))),ROW()-ROW($G$2:$G$43)+1),COLUMN($F$2:$F$43),4)))</f>
        <v/>
      </c>
      <c r="N16" s="223" t="str">
        <f t="array" aca="1" ref="N16" ca="1">IF(ROW()-ROW($H$2:$H$43)+1&gt;ROWS($G$2:$G$43)-COUNTBLANK($G$2:$G$43),"",INDIRECT(ADDRESS(SMALL((IF($G$2:$G$43&lt;&gt;"",ROW($G$2:$G$43),ROW()+ROWS($G$2:$G$43))),ROW()-ROW($H$2:$H$43)+1),COLUMN($G$2:$G$43),4)))</f>
        <v/>
      </c>
      <c r="O16" s="223" t="str">
        <f t="array" aca="1" ref="O16" ca="1">IF(ROW()-ROW($I$2:$I$43)+1&gt;ROWS($H$2:$H$43)-COUNTBLANK($H$2:$H$43),"",INDIRECT(ADDRESS(SMALL((IF($H$2:$H$43&lt;&gt;"",ROW($H$2:$H$43),ROW()+ROWS($H$2:$H$43))),ROW()-ROW($I$2:$I$43)+1),COLUMN($H$2:$H$43),4)))</f>
        <v/>
      </c>
      <c r="P16" s="223" t="str">
        <f t="array" aca="1" ref="P16" ca="1">IF(ROW()-ROW($J$2:$J$43)+1&gt;ROWS($I$2:$I$43)-COUNTBLANK($I$2:$I$43),"",INDIRECT(ADDRESS(SMALL((IF($I$2:$I$43&lt;&gt;"",ROW($I$2:$I$43),ROW()+ROWS($I$2:$I$43))),ROW()-ROW($J$2:$J$43)+1),COLUMN($I$2:$I$43),4)))</f>
        <v/>
      </c>
    </row>
    <row r="17" spans="1:16" ht="23.1" customHeight="1" x14ac:dyDescent="0.25">
      <c r="D17" s="202" t="s">
        <v>100</v>
      </c>
      <c r="E17" s="212" t="str">
        <f>IF(H17="","","2018")</f>
        <v/>
      </c>
      <c r="F17" s="224" t="str">
        <f>IF(H17="","","d")</f>
        <v/>
      </c>
      <c r="G17" s="224" t="str">
        <f t="shared" si="0"/>
        <v/>
      </c>
      <c r="H17" s="213" t="str">
        <f>IF(A2="relevant",IF(Matrix!L20="","",IF(Matrix!L20&gt;Matrix!F20,Berechnung2!$L$45,"")),"")</f>
        <v/>
      </c>
      <c r="I17" s="217" t="str">
        <f>IF(H17="","",VLOOKUP(F17,Berechnung2!$I$15:$J$25,2,FALSE))</f>
        <v/>
      </c>
      <c r="J17" s="237" t="str">
        <f t="shared" si="1"/>
        <v/>
      </c>
      <c r="L17" s="223" t="str">
        <f t="array" aca="1" ref="L17" ca="1">IF(ROW()-ROW($F$2:$F$43)+1&gt;ROWS($E$2:$E$43)-COUNTBLANK($E$2:$E$43),"",INDIRECT(ADDRESS(SMALL((IF($E$2:$E$43&lt;&gt;"",ROW($E$2:$E$43),ROW()+ROWS($E$2:$E$43))),ROW()-ROW($F$2:$F$43)+1),COLUMN($E$2:$E$43),4)))</f>
        <v/>
      </c>
      <c r="M17" s="223" t="str">
        <f t="array" aca="1" ref="M17" ca="1">IF(ROW()-ROW($G$2:$G$43)+1&gt;ROWS($F$2:$F$43)-COUNTBLANK($F$2:$F$43),"",INDIRECT(ADDRESS(SMALL((IF($F$2:$F$43&lt;&gt;"",ROW($F$2:$F$43),ROW()+ROWS($F$2:$F$43))),ROW()-ROW($G$2:$G$43)+1),COLUMN($F$2:$F$43),4)))</f>
        <v/>
      </c>
      <c r="N17" s="223" t="str">
        <f t="array" aca="1" ref="N17" ca="1">IF(ROW()-ROW($H$2:$H$43)+1&gt;ROWS($G$2:$G$43)-COUNTBLANK($G$2:$G$43),"",INDIRECT(ADDRESS(SMALL((IF($G$2:$G$43&lt;&gt;"",ROW($G$2:$G$43),ROW()+ROWS($G$2:$G$43))),ROW()-ROW($H$2:$H$43)+1),COLUMN($G$2:$G$43),4)))</f>
        <v/>
      </c>
      <c r="O17" s="223" t="str">
        <f t="array" aca="1" ref="O17" ca="1">IF(ROW()-ROW($I$2:$I$43)+1&gt;ROWS($H$2:$H$43)-COUNTBLANK($H$2:$H$43),"",INDIRECT(ADDRESS(SMALL((IF($H$2:$H$43&lt;&gt;"",ROW($H$2:$H$43),ROW()+ROWS($H$2:$H$43))),ROW()-ROW($I$2:$I$43)+1),COLUMN($H$2:$H$43),4)))</f>
        <v/>
      </c>
      <c r="P17" s="223" t="str">
        <f t="array" aca="1" ref="P17" ca="1">IF(ROW()-ROW($J$2:$J$43)+1&gt;ROWS($I$2:$I$43)-COUNTBLANK($I$2:$I$43),"",INDIRECT(ADDRESS(SMALL((IF($I$2:$I$43&lt;&gt;"",ROW($I$2:$I$43),ROW()+ROWS($I$2:$I$43))),ROW()-ROW($J$2:$J$43)+1),COLUMN($I$2:$I$43),4)))</f>
        <v/>
      </c>
    </row>
    <row r="18" spans="1:16" ht="23.1" customHeight="1" x14ac:dyDescent="0.25">
      <c r="D18" s="1035" t="s">
        <v>366</v>
      </c>
      <c r="E18" s="203" t="str">
        <f>IF(H18="","","2019")</f>
        <v/>
      </c>
      <c r="F18" s="54" t="str">
        <f>IF(H18="","","d")</f>
        <v/>
      </c>
      <c r="G18" s="54" t="str">
        <f t="shared" si="0"/>
        <v/>
      </c>
      <c r="H18" s="204" t="str">
        <f>IF(A3="relevant",IF(Matrix!L21="","",IF(Matrix!L21&gt;Matrix!F21,Berechnung2!$L$45,"")),"")</f>
        <v/>
      </c>
      <c r="I18" s="218" t="str">
        <f>IF(H18="","",VLOOKUP(F18,Berechnung2!$I$15:$J$25,2,FALSE))</f>
        <v/>
      </c>
      <c r="J18" s="238" t="str">
        <f t="shared" si="1"/>
        <v/>
      </c>
      <c r="L18" s="223" t="str">
        <f t="array" aca="1" ref="L18" ca="1">IF(ROW()-ROW($F$2:$F$43)+1&gt;ROWS($E$2:$E$43)-COUNTBLANK($E$2:$E$43),"",INDIRECT(ADDRESS(SMALL((IF($E$2:$E$43&lt;&gt;"",ROW($E$2:$E$43),ROW()+ROWS($E$2:$E$43))),ROW()-ROW($F$2:$F$43)+1),COLUMN($E$2:$E$43),4)))</f>
        <v/>
      </c>
      <c r="M18" s="223" t="str">
        <f t="array" aca="1" ref="M18" ca="1">IF(ROW()-ROW($G$2:$G$43)+1&gt;ROWS($F$2:$F$43)-COUNTBLANK($F$2:$F$43),"",INDIRECT(ADDRESS(SMALL((IF($F$2:$F$43&lt;&gt;"",ROW($F$2:$F$43),ROW()+ROWS($F$2:$F$43))),ROW()-ROW($G$2:$G$43)+1),COLUMN($F$2:$F$43),4)))</f>
        <v/>
      </c>
      <c r="N18" s="223" t="str">
        <f t="array" aca="1" ref="N18" ca="1">IF(ROW()-ROW($H$2:$H$43)+1&gt;ROWS($G$2:$G$43)-COUNTBLANK($G$2:$G$43),"",INDIRECT(ADDRESS(SMALL((IF($G$2:$G$43&lt;&gt;"",ROW($G$2:$G$43),ROW()+ROWS($G$2:$G$43))),ROW()-ROW($H$2:$H$43)+1),COLUMN($G$2:$G$43),4)))</f>
        <v/>
      </c>
      <c r="O18" s="223" t="str">
        <f t="array" aca="1" ref="O18" ca="1">IF(ROW()-ROW($I$2:$I$43)+1&gt;ROWS($H$2:$H$43)-COUNTBLANK($H$2:$H$43),"",INDIRECT(ADDRESS(SMALL((IF($H$2:$H$43&lt;&gt;"",ROW($H$2:$H$43),ROW()+ROWS($H$2:$H$43))),ROW()-ROW($I$2:$I$43)+1),COLUMN($H$2:$H$43),4)))</f>
        <v/>
      </c>
      <c r="P18" s="223" t="str">
        <f t="array" aca="1" ref="P18" ca="1">IF(ROW()-ROW($J$2:$J$43)+1&gt;ROWS($I$2:$I$43)-COUNTBLANK($I$2:$I$43),"",INDIRECT(ADDRESS(SMALL((IF($I$2:$I$43&lt;&gt;"",ROW($I$2:$I$43),ROW()+ROWS($I$2:$I$43))),ROW()-ROW($J$2:$J$43)+1),COLUMN($I$2:$I$43),4)))</f>
        <v/>
      </c>
    </row>
    <row r="19" spans="1:16" ht="23.1" customHeight="1" x14ac:dyDescent="0.25">
      <c r="D19" s="1035"/>
      <c r="E19" s="203" t="str">
        <f>IF(H19="","","2020")</f>
        <v/>
      </c>
      <c r="F19" s="54" t="str">
        <f>IF(H19="","","d")</f>
        <v/>
      </c>
      <c r="G19" s="54" t="str">
        <f t="shared" si="0"/>
        <v/>
      </c>
      <c r="H19" s="204" t="str">
        <f>IF(A4="relevant",IF(Matrix!L22="","",IF(Matrix!L22&gt;Matrix!F22,Berechnung2!$L$45,"")),"")</f>
        <v/>
      </c>
      <c r="I19" s="218" t="str">
        <f>IF(H19="","",VLOOKUP(F19,Berechnung2!$I$15:$J$25,2,FALSE))</f>
        <v/>
      </c>
      <c r="J19" s="238" t="str">
        <f t="shared" si="1"/>
        <v/>
      </c>
      <c r="L19" s="223" t="str">
        <f t="array" aca="1" ref="L19" ca="1">IF(ROW()-ROW($F$2:$F$43)+1&gt;ROWS($E$2:$E$43)-COUNTBLANK($E$2:$E$43),"",INDIRECT(ADDRESS(SMALL((IF($E$2:$E$43&lt;&gt;"",ROW($E$2:$E$43),ROW()+ROWS($E$2:$E$43))),ROW()-ROW($F$2:$F$43)+1),COLUMN($E$2:$E$43),4)))</f>
        <v/>
      </c>
      <c r="M19" s="223" t="str">
        <f t="array" aca="1" ref="M19" ca="1">IF(ROW()-ROW($G$2:$G$43)+1&gt;ROWS($F$2:$F$43)-COUNTBLANK($F$2:$F$43),"",INDIRECT(ADDRESS(SMALL((IF($F$2:$F$43&lt;&gt;"",ROW($F$2:$F$43),ROW()+ROWS($F$2:$F$43))),ROW()-ROW($G$2:$G$43)+1),COLUMN($F$2:$F$43),4)))</f>
        <v/>
      </c>
      <c r="N19" s="223" t="str">
        <f t="array" aca="1" ref="N19" ca="1">IF(ROW()-ROW($H$2:$H$43)+1&gt;ROWS($G$2:$G$43)-COUNTBLANK($G$2:$G$43),"",INDIRECT(ADDRESS(SMALL((IF($G$2:$G$43&lt;&gt;"",ROW($G$2:$G$43),ROW()+ROWS($G$2:$G$43))),ROW()-ROW($H$2:$H$43)+1),COLUMN($G$2:$G$43),4)))</f>
        <v/>
      </c>
      <c r="O19" s="223" t="str">
        <f t="array" aca="1" ref="O19" ca="1">IF(ROW()-ROW($I$2:$I$43)+1&gt;ROWS($H$2:$H$43)-COUNTBLANK($H$2:$H$43),"",INDIRECT(ADDRESS(SMALL((IF($H$2:$H$43&lt;&gt;"",ROW($H$2:$H$43),ROW()+ROWS($H$2:$H$43))),ROW()-ROW($I$2:$I$43)+1),COLUMN($H$2:$H$43),4)))</f>
        <v/>
      </c>
      <c r="P19" s="223" t="str">
        <f t="array" aca="1" ref="P19" ca="1">IF(ROW()-ROW($J$2:$J$43)+1&gt;ROWS($I$2:$I$43)-COUNTBLANK($I$2:$I$43),"",INDIRECT(ADDRESS(SMALL((IF($I$2:$I$43&lt;&gt;"",ROW($I$2:$I$43),ROW()+ROWS($I$2:$I$43))),ROW()-ROW($J$2:$J$43)+1),COLUMN($I$2:$I$43),4)))</f>
        <v/>
      </c>
    </row>
    <row r="20" spans="1:16" ht="23.1" customHeight="1" x14ac:dyDescent="0.25">
      <c r="D20" s="1035"/>
      <c r="E20" s="203" t="str">
        <f>IF(H20="","","2021")</f>
        <v/>
      </c>
      <c r="F20" s="54" t="str">
        <f>IF(H20="","","d")</f>
        <v/>
      </c>
      <c r="G20" s="54" t="str">
        <f t="shared" si="0"/>
        <v/>
      </c>
      <c r="H20" s="204" t="str">
        <f>IF(A5="relevant",IF(Matrix!L23="","",IF(Matrix!L23&gt;Matrix!F23,Berechnung2!$L$45,"")),"")</f>
        <v/>
      </c>
      <c r="I20" s="218" t="str">
        <f>IF(H20="","",VLOOKUP(F20,Berechnung2!$I$15:$J$25,2,FALSE))</f>
        <v/>
      </c>
      <c r="J20" s="238" t="str">
        <f t="shared" si="1"/>
        <v/>
      </c>
      <c r="L20" s="223" t="str">
        <f t="array" aca="1" ref="L20" ca="1">IF(ROW()-ROW($F$2:$F$43)+1&gt;ROWS($E$2:$E$43)-COUNTBLANK($E$2:$E$43),"",INDIRECT(ADDRESS(SMALL((IF($E$2:$E$43&lt;&gt;"",ROW($E$2:$E$43),ROW()+ROWS($E$2:$E$43))),ROW()-ROW($F$2:$F$43)+1),COLUMN($E$2:$E$43),4)))</f>
        <v/>
      </c>
      <c r="M20" s="223" t="str">
        <f t="array" aca="1" ref="M20" ca="1">IF(ROW()-ROW($G$2:$G$43)+1&gt;ROWS($F$2:$F$43)-COUNTBLANK($F$2:$F$43),"",INDIRECT(ADDRESS(SMALL((IF($F$2:$F$43&lt;&gt;"",ROW($F$2:$F$43),ROW()+ROWS($F$2:$F$43))),ROW()-ROW($G$2:$G$43)+1),COLUMN($F$2:$F$43),4)))</f>
        <v/>
      </c>
      <c r="N20" s="223" t="str">
        <f t="array" aca="1" ref="N20" ca="1">IF(ROW()-ROW($H$2:$H$43)+1&gt;ROWS($G$2:$G$43)-COUNTBLANK($G$2:$G$43),"",INDIRECT(ADDRESS(SMALL((IF($G$2:$G$43&lt;&gt;"",ROW($G$2:$G$43),ROW()+ROWS($G$2:$G$43))),ROW()-ROW($H$2:$H$43)+1),COLUMN($G$2:$G$43),4)))</f>
        <v/>
      </c>
      <c r="O20" s="223" t="str">
        <f t="array" aca="1" ref="O20" ca="1">IF(ROW()-ROW($I$2:$I$43)+1&gt;ROWS($H$2:$H$43)-COUNTBLANK($H$2:$H$43),"",INDIRECT(ADDRESS(SMALL((IF($H$2:$H$43&lt;&gt;"",ROW($H$2:$H$43),ROW()+ROWS($H$2:$H$43))),ROW()-ROW($I$2:$I$43)+1),COLUMN($H$2:$H$43),4)))</f>
        <v/>
      </c>
      <c r="P20" s="223" t="str">
        <f t="array" aca="1" ref="P20" ca="1">IF(ROW()-ROW($J$2:$J$43)+1&gt;ROWS($I$2:$I$43)-COUNTBLANK($I$2:$I$43),"",INDIRECT(ADDRESS(SMALL((IF($I$2:$I$43&lt;&gt;"",ROW($I$2:$I$43),ROW()+ROWS($I$2:$I$43))),ROW()-ROW($J$2:$J$43)+1),COLUMN($I$2:$I$43),4)))</f>
        <v/>
      </c>
    </row>
    <row r="21" spans="1:16" ht="23.1" customHeight="1" thickBot="1" x14ac:dyDescent="0.3">
      <c r="D21" s="205" t="s">
        <v>425</v>
      </c>
      <c r="E21" s="214" t="str">
        <f>IF(H21="","","2022")</f>
        <v/>
      </c>
      <c r="F21" s="225" t="str">
        <f>IF(H21="","","d")</f>
        <v/>
      </c>
      <c r="G21" s="225" t="str">
        <f t="shared" si="0"/>
        <v/>
      </c>
      <c r="H21" s="215" t="str">
        <f>IF(A6="relevant",IF(Matrix!L24="","",IF(Matrix!L24&gt;Matrix!F24,Berechnung2!$L$45,"")),"")</f>
        <v/>
      </c>
      <c r="I21" s="219" t="str">
        <f>IF(H21="","",VLOOKUP(F21,Berechnung2!$I$15:$J$25,2,FALSE))</f>
        <v/>
      </c>
      <c r="J21" s="239" t="str">
        <f t="shared" si="1"/>
        <v/>
      </c>
      <c r="L21" s="223" t="str">
        <f t="array" aca="1" ref="L21" ca="1">IF(ROW()-ROW($F$2:$F$43)+1&gt;ROWS($E$2:$E$43)-COUNTBLANK($E$2:$E$43),"",INDIRECT(ADDRESS(SMALL((IF($E$2:$E$43&lt;&gt;"",ROW($E$2:$E$43),ROW()+ROWS($E$2:$E$43))),ROW()-ROW($F$2:$F$43)+1),COLUMN($E$2:$E$43),4)))</f>
        <v/>
      </c>
      <c r="M21" s="223" t="str">
        <f t="array" aca="1" ref="M21" ca="1">IF(ROW()-ROW($G$2:$G$43)+1&gt;ROWS($F$2:$F$43)-COUNTBLANK($F$2:$F$43),"",INDIRECT(ADDRESS(SMALL((IF($F$2:$F$43&lt;&gt;"",ROW($F$2:$F$43),ROW()+ROWS($F$2:$F$43))),ROW()-ROW($G$2:$G$43)+1),COLUMN($F$2:$F$43),4)))</f>
        <v/>
      </c>
      <c r="N21" s="223" t="str">
        <f t="array" aca="1" ref="N21" ca="1">IF(ROW()-ROW($H$2:$H$43)+1&gt;ROWS($G$2:$G$43)-COUNTBLANK($G$2:$G$43),"",INDIRECT(ADDRESS(SMALL((IF($G$2:$G$43&lt;&gt;"",ROW($G$2:$G$43),ROW()+ROWS($G$2:$G$43))),ROW()-ROW($H$2:$H$43)+1),COLUMN($G$2:$G$43),4)))</f>
        <v/>
      </c>
      <c r="O21" s="223" t="str">
        <f t="array" aca="1" ref="O21" ca="1">IF(ROW()-ROW($I$2:$I$43)+1&gt;ROWS($H$2:$H$43)-COUNTBLANK($H$2:$H$43),"",INDIRECT(ADDRESS(SMALL((IF($H$2:$H$43&lt;&gt;"",ROW($H$2:$H$43),ROW()+ROWS($H$2:$H$43))),ROW()-ROW($I$2:$I$43)+1),COLUMN($H$2:$H$43),4)))</f>
        <v/>
      </c>
      <c r="P21" s="223" t="str">
        <f t="array" aca="1" ref="P21" ca="1">IF(ROW()-ROW($J$2:$J$43)+1&gt;ROWS($I$2:$I$43)-COUNTBLANK($I$2:$I$43),"",INDIRECT(ADDRESS(SMALL((IF($I$2:$I$43&lt;&gt;"",ROW($I$2:$I$43),ROW()+ROWS($I$2:$I$43))),ROW()-ROW($J$2:$J$43)+1),COLUMN($I$2:$I$43),4)))</f>
        <v/>
      </c>
    </row>
    <row r="22" spans="1:16" ht="41.25" customHeight="1" thickBot="1" x14ac:dyDescent="0.3">
      <c r="D22" s="206" t="s">
        <v>426</v>
      </c>
      <c r="E22" s="321" t="str">
        <f>IF(H22="","","2020-2022")</f>
        <v/>
      </c>
      <c r="F22" s="322" t="str">
        <f>IF(H22="","","e")</f>
        <v/>
      </c>
      <c r="G22" s="322" t="str">
        <f>IF(I22="","","5")</f>
        <v/>
      </c>
      <c r="H22" s="323" t="str">
        <f>IF(OR(Matrix!$G$26="-----",Matrix!$G$26=""),"",IF(Matrix!G26="",0,IF(AND(ROUND(Matrix!G26,4)&gt;=Berechnung2!F41,ROUND(Matrix!G26,4)&lt;Berechnung2!J41),Berechnung2!L41,"")))</f>
        <v/>
      </c>
      <c r="I22" s="324" t="str">
        <f>IF(H22="","",VLOOKUP(F22,Berechnung2!$I$15:$J$25,2,FALSE))</f>
        <v/>
      </c>
      <c r="J22" s="325" t="str">
        <f t="shared" si="1"/>
        <v/>
      </c>
      <c r="L22" s="223" t="str">
        <f t="array" aca="1" ref="L22" ca="1">IF(ROW()-ROW($F$2:$F$43)+1&gt;ROWS($E$2:$E$43)-COUNTBLANK($E$2:$E$43),"",INDIRECT(ADDRESS(SMALL((IF($E$2:$E$43&lt;&gt;"",ROW($E$2:$E$43),ROW()+ROWS($E$2:$E$43))),ROW()-ROW($F$2:$F$43)+1),COLUMN($E$2:$E$43),4)))</f>
        <v/>
      </c>
      <c r="M22" s="223" t="str">
        <f t="array" aca="1" ref="M22" ca="1">IF(ROW()-ROW($G$2:$G$43)+1&gt;ROWS($F$2:$F$43)-COUNTBLANK($F$2:$F$43),"",INDIRECT(ADDRESS(SMALL((IF($F$2:$F$43&lt;&gt;"",ROW($F$2:$F$43),ROW()+ROWS($F$2:$F$43))),ROW()-ROW($G$2:$G$43)+1),COLUMN($F$2:$F$43),4)))</f>
        <v/>
      </c>
      <c r="N22" s="223" t="str">
        <f t="array" aca="1" ref="N22" ca="1">IF(ROW()-ROW($H$2:$H$43)+1&gt;ROWS($G$2:$G$43)-COUNTBLANK($G$2:$G$43),"",INDIRECT(ADDRESS(SMALL((IF($G$2:$G$43&lt;&gt;"",ROW($G$2:$G$43),ROW()+ROWS($G$2:$G$43))),ROW()-ROW($H$2:$H$43)+1),COLUMN($G$2:$G$43),4)))</f>
        <v/>
      </c>
      <c r="O22" s="223" t="str">
        <f t="array" aca="1" ref="O22" ca="1">IF(ROW()-ROW($I$2:$I$43)+1&gt;ROWS($H$2:$H$43)-COUNTBLANK($H$2:$H$43),"",INDIRECT(ADDRESS(SMALL((IF($H$2:$H$43&lt;&gt;"",ROW($H$2:$H$43),ROW()+ROWS($H$2:$H$43))),ROW()-ROW($I$2:$I$43)+1),COLUMN($H$2:$H$43),4)))</f>
        <v/>
      </c>
      <c r="P22" s="223" t="str">
        <f t="array" aca="1" ref="P22" ca="1">IF(ROW()-ROW($J$2:$J$43)+1&gt;ROWS($I$2:$I$43)-COUNTBLANK($I$2:$I$43),"",INDIRECT(ADDRESS(SMALL((IF($I$2:$I$43&lt;&gt;"",ROW($I$2:$I$43),ROW()+ROWS($I$2:$I$43))),ROW()-ROW($J$2:$J$43)+1),COLUMN($I$2:$I$43),4)))</f>
        <v/>
      </c>
    </row>
    <row r="23" spans="1:16" ht="42" customHeight="1" x14ac:dyDescent="0.25">
      <c r="A23" s="1034" t="s">
        <v>511</v>
      </c>
      <c r="B23" s="371"/>
      <c r="C23" s="371"/>
      <c r="D23" s="372" t="s">
        <v>81</v>
      </c>
      <c r="E23" s="373"/>
      <c r="F23" s="374"/>
      <c r="G23" s="375"/>
      <c r="H23" s="376"/>
      <c r="I23" s="377"/>
      <c r="J23" s="378"/>
      <c r="K23" s="371"/>
      <c r="L23" s="223" t="str">
        <f t="array" aca="1" ref="L23" ca="1">IF(ROW()-ROW($F$2:$F$43)+1&gt;ROWS($E$2:$E$43)-COUNTBLANK($E$2:$E$43),"",INDIRECT(ADDRESS(SMALL((IF($E$2:$E$43&lt;&gt;"",ROW($E$2:$E$43),ROW()+ROWS($E$2:$E$43))),ROW()-ROW($F$2:$F$43)+1),COLUMN($E$2:$E$43),4)))</f>
        <v/>
      </c>
      <c r="M23" s="223" t="str">
        <f t="array" aca="1" ref="M23" ca="1">IF(ROW()-ROW($G$2:$G$43)+1&gt;ROWS($F$2:$F$43)-COUNTBLANK($F$2:$F$43),"",INDIRECT(ADDRESS(SMALL((IF($F$2:$F$43&lt;&gt;"",ROW($F$2:$F$43),ROW()+ROWS($F$2:$F$43))),ROW()-ROW($G$2:$G$43)+1),COLUMN($F$2:$F$43),4)))</f>
        <v/>
      </c>
      <c r="N23" s="223" t="str">
        <f t="array" aca="1" ref="N23" ca="1">IF(ROW()-ROW($H$2:$H$43)+1&gt;ROWS($G$2:$G$43)-COUNTBLANK($G$2:$G$43),"",INDIRECT(ADDRESS(SMALL((IF($G$2:$G$43&lt;&gt;"",ROW($G$2:$G$43),ROW()+ROWS($G$2:$G$43))),ROW()-ROW($H$2:$H$43)+1),COLUMN($G$2:$G$43),4)))</f>
        <v/>
      </c>
      <c r="O23" s="223" t="str">
        <f t="array" aca="1" ref="O23" ca="1">IF(ROW()-ROW($I$2:$I$43)+1&gt;ROWS($H$2:$H$43)-COUNTBLANK($H$2:$H$43),"",INDIRECT(ADDRESS(SMALL((IF($H$2:$H$43&lt;&gt;"",ROW($H$2:$H$43),ROW()+ROWS($H$2:$H$43))),ROW()-ROW($I$2:$I$43)+1),COLUMN($H$2:$H$43),4)))</f>
        <v/>
      </c>
      <c r="P23" s="223" t="str">
        <f t="array" aca="1" ref="P23" ca="1">IF(ROW()-ROW($J$2:$J$43)+1&gt;ROWS($I$2:$I$43)-COUNTBLANK($I$2:$I$43),"",INDIRECT(ADDRESS(SMALL((IF($I$2:$I$43&lt;&gt;"",ROW($I$2:$I$43),ROW()+ROWS($I$2:$I$43))),ROW()-ROW($J$2:$J$43)+1),COLUMN($I$2:$I$43),4)))</f>
        <v/>
      </c>
    </row>
    <row r="24" spans="1:16" ht="23.1" customHeight="1" x14ac:dyDescent="0.25">
      <c r="A24" s="1034"/>
      <c r="B24" s="371"/>
      <c r="C24" s="371"/>
      <c r="D24" s="1036" t="s">
        <v>275</v>
      </c>
      <c r="E24" s="379"/>
      <c r="F24" s="380"/>
      <c r="G24" s="381"/>
      <c r="H24" s="382"/>
      <c r="I24" s="383"/>
      <c r="J24" s="384"/>
      <c r="K24" s="371"/>
      <c r="L24" s="223" t="str">
        <f t="array" aca="1" ref="L24" ca="1">IF(ROW()-ROW($F$2:$F$43)+1&gt;ROWS($E$2:$E$43)-COUNTBLANK($E$2:$E$43),"",INDIRECT(ADDRESS(SMALL((IF($E$2:$E$43&lt;&gt;"",ROW($E$2:$E$43),ROW()+ROWS($E$2:$E$43))),ROW()-ROW($F$2:$F$43)+1),COLUMN($E$2:$E$43),4)))</f>
        <v/>
      </c>
      <c r="M24" s="223" t="str">
        <f t="array" aca="1" ref="M24" ca="1">IF(ROW()-ROW($G$2:$G$43)+1&gt;ROWS($F$2:$F$43)-COUNTBLANK($F$2:$F$43),"",INDIRECT(ADDRESS(SMALL((IF($F$2:$F$43&lt;&gt;"",ROW($F$2:$F$43),ROW()+ROWS($F$2:$F$43))),ROW()-ROW($G$2:$G$43)+1),COLUMN($F$2:$F$43),4)))</f>
        <v/>
      </c>
      <c r="N24" s="223" t="str">
        <f t="array" aca="1" ref="N24" ca="1">IF(ROW()-ROW($H$2:$H$43)+1&gt;ROWS($G$2:$G$43)-COUNTBLANK($G$2:$G$43),"",INDIRECT(ADDRESS(SMALL((IF($G$2:$G$43&lt;&gt;"",ROW($G$2:$G$43),ROW()+ROWS($G$2:$G$43))),ROW()-ROW($H$2:$H$43)+1),COLUMN($G$2:$G$43),4)))</f>
        <v/>
      </c>
      <c r="O24" s="223" t="str">
        <f t="array" aca="1" ref="O24" ca="1">IF(ROW()-ROW($I$2:$I$43)+1&gt;ROWS($H$2:$H$43)-COUNTBLANK($H$2:$H$43),"",INDIRECT(ADDRESS(SMALL((IF($H$2:$H$43&lt;&gt;"",ROW($H$2:$H$43),ROW()+ROWS($H$2:$H$43))),ROW()-ROW($I$2:$I$43)+1),COLUMN($H$2:$H$43),4)))</f>
        <v/>
      </c>
      <c r="P24" s="223" t="str">
        <f t="array" aca="1" ref="P24" ca="1">IF(ROW()-ROW($J$2:$J$43)+1&gt;ROWS($I$2:$I$43)-COUNTBLANK($I$2:$I$43),"",INDIRECT(ADDRESS(SMALL((IF($I$2:$I$43&lt;&gt;"",ROW($I$2:$I$43),ROW()+ROWS($I$2:$I$43))),ROW()-ROW($J$2:$J$43)+1),COLUMN($I$2:$I$43),4)))</f>
        <v/>
      </c>
    </row>
    <row r="25" spans="1:16" ht="23.1" customHeight="1" x14ac:dyDescent="0.25">
      <c r="A25" s="1034"/>
      <c r="B25" s="371"/>
      <c r="C25" s="371"/>
      <c r="D25" s="1036"/>
      <c r="E25" s="379"/>
      <c r="F25" s="380"/>
      <c r="G25" s="381"/>
      <c r="H25" s="382"/>
      <c r="I25" s="383"/>
      <c r="J25" s="384"/>
      <c r="K25" s="371"/>
      <c r="L25" s="223" t="str">
        <f t="array" aca="1" ref="L25" ca="1">IF(ROW()-ROW($F$2:$F$43)+1&gt;ROWS($E$2:$E$43)-COUNTBLANK($E$2:$E$43),"",INDIRECT(ADDRESS(SMALL((IF($E$2:$E$43&lt;&gt;"",ROW($E$2:$E$43),ROW()+ROWS($E$2:$E$43))),ROW()-ROW($F$2:$F$43)+1),COLUMN($E$2:$E$43),4)))</f>
        <v/>
      </c>
      <c r="M25" s="223" t="str">
        <f t="array" aca="1" ref="M25" ca="1">IF(ROW()-ROW($G$2:$G$43)+1&gt;ROWS($F$2:$F$43)-COUNTBLANK($F$2:$F$43),"",INDIRECT(ADDRESS(SMALL((IF($F$2:$F$43&lt;&gt;"",ROW($F$2:$F$43),ROW()+ROWS($F$2:$F$43))),ROW()-ROW($G$2:$G$43)+1),COLUMN($F$2:$F$43),4)))</f>
        <v/>
      </c>
      <c r="N25" s="223" t="str">
        <f t="array" aca="1" ref="N25" ca="1">IF(ROW()-ROW($H$2:$H$43)+1&gt;ROWS($G$2:$G$43)-COUNTBLANK($G$2:$G$43),"",INDIRECT(ADDRESS(SMALL((IF($G$2:$G$43&lt;&gt;"",ROW($G$2:$G$43),ROW()+ROWS($G$2:$G$43))),ROW()-ROW($H$2:$H$43)+1),COLUMN($G$2:$G$43),4)))</f>
        <v/>
      </c>
      <c r="O25" s="223" t="str">
        <f t="array" aca="1" ref="O25" ca="1">IF(ROW()-ROW($I$2:$I$43)+1&gt;ROWS($H$2:$H$43)-COUNTBLANK($H$2:$H$43),"",INDIRECT(ADDRESS(SMALL((IF($H$2:$H$43&lt;&gt;"",ROW($H$2:$H$43),ROW()+ROWS($H$2:$H$43))),ROW()-ROW($I$2:$I$43)+1),COLUMN($H$2:$H$43),4)))</f>
        <v/>
      </c>
      <c r="P25" s="223" t="str">
        <f t="array" aca="1" ref="P25" ca="1">IF(ROW()-ROW($J$2:$J$43)+1&gt;ROWS($I$2:$I$43)-COUNTBLANK($I$2:$I$43),"",INDIRECT(ADDRESS(SMALL((IF($I$2:$I$43&lt;&gt;"",ROW($I$2:$I$43),ROW()+ROWS($I$2:$I$43))),ROW()-ROW($J$2:$J$43)+1),COLUMN($I$2:$I$43),4)))</f>
        <v/>
      </c>
    </row>
    <row r="26" spans="1:16" ht="23.1" customHeight="1" x14ac:dyDescent="0.25">
      <c r="A26" s="1034"/>
      <c r="B26" s="371"/>
      <c r="C26" s="371"/>
      <c r="D26" s="1036"/>
      <c r="E26" s="379"/>
      <c r="F26" s="380"/>
      <c r="G26" s="381"/>
      <c r="H26" s="382"/>
      <c r="I26" s="383"/>
      <c r="J26" s="384"/>
      <c r="K26" s="371"/>
      <c r="L26" s="223" t="str">
        <f t="array" aca="1" ref="L26" ca="1">IF(ROW()-ROW($F$2:$F$43)+1&gt;ROWS($E$2:$E$43)-COUNTBLANK($E$2:$E$43),"",INDIRECT(ADDRESS(SMALL((IF($E$2:$E$43&lt;&gt;"",ROW($E$2:$E$43),ROW()+ROWS($E$2:$E$43))),ROW()-ROW($F$2:$F$43)+1),COLUMN($E$2:$E$43),4)))</f>
        <v/>
      </c>
      <c r="M26" s="223" t="str">
        <f t="array" aca="1" ref="M26" ca="1">IF(ROW()-ROW($G$2:$G$43)+1&gt;ROWS($F$2:$F$43)-COUNTBLANK($F$2:$F$43),"",INDIRECT(ADDRESS(SMALL((IF($F$2:$F$43&lt;&gt;"",ROW($F$2:$F$43),ROW()+ROWS($F$2:$F$43))),ROW()-ROW($G$2:$G$43)+1),COLUMN($F$2:$F$43),4)))</f>
        <v/>
      </c>
      <c r="N26" s="223" t="str">
        <f t="array" aca="1" ref="N26" ca="1">IF(ROW()-ROW($H$2:$H$43)+1&gt;ROWS($G$2:$G$43)-COUNTBLANK($G$2:$G$43),"",INDIRECT(ADDRESS(SMALL((IF($G$2:$G$43&lt;&gt;"",ROW($G$2:$G$43),ROW()+ROWS($G$2:$G$43))),ROW()-ROW($H$2:$H$43)+1),COLUMN($G$2:$G$43),4)))</f>
        <v/>
      </c>
      <c r="O26" s="223" t="str">
        <f t="array" aca="1" ref="O26" ca="1">IF(ROW()-ROW($I$2:$I$43)+1&gt;ROWS($H$2:$H$43)-COUNTBLANK($H$2:$H$43),"",INDIRECT(ADDRESS(SMALL((IF($H$2:$H$43&lt;&gt;"",ROW($H$2:$H$43),ROW()+ROWS($H$2:$H$43))),ROW()-ROW($I$2:$I$43)+1),COLUMN($H$2:$H$43),4)))</f>
        <v/>
      </c>
      <c r="P26" s="223" t="str">
        <f t="array" aca="1" ref="P26" ca="1">IF(ROW()-ROW($J$2:$J$43)+1&gt;ROWS($I$2:$I$43)-COUNTBLANK($I$2:$I$43),"",INDIRECT(ADDRESS(SMALL((IF($I$2:$I$43&lt;&gt;"",ROW($I$2:$I$43),ROW()+ROWS($I$2:$I$43))),ROW()-ROW($J$2:$J$43)+1),COLUMN($I$2:$I$43),4)))</f>
        <v/>
      </c>
    </row>
    <row r="27" spans="1:16" ht="23.1" customHeight="1" thickBot="1" x14ac:dyDescent="0.3">
      <c r="A27" s="1034"/>
      <c r="B27" s="371"/>
      <c r="C27" s="371"/>
      <c r="D27" s="385" t="s">
        <v>427</v>
      </c>
      <c r="E27" s="386"/>
      <c r="F27" s="387"/>
      <c r="G27" s="388"/>
      <c r="H27" s="389"/>
      <c r="I27" s="390"/>
      <c r="J27" s="391"/>
      <c r="K27" s="371"/>
      <c r="L27" s="223" t="str">
        <f t="array" aca="1" ref="L27" ca="1">IF(ROW()-ROW($F$2:$F$43)+1&gt;ROWS($E$2:$E$43)-COUNTBLANK($E$2:$E$43),"",INDIRECT(ADDRESS(SMALL((IF($E$2:$E$43&lt;&gt;"",ROW($E$2:$E$43),ROW()+ROWS($E$2:$E$43))),ROW()-ROW($F$2:$F$43)+1),COLUMN($E$2:$E$43),4)))</f>
        <v/>
      </c>
      <c r="M27" s="223" t="str">
        <f t="array" aca="1" ref="M27" ca="1">IF(ROW()-ROW($G$2:$G$43)+1&gt;ROWS($F$2:$F$43)-COUNTBLANK($F$2:$F$43),"",INDIRECT(ADDRESS(SMALL((IF($F$2:$F$43&lt;&gt;"",ROW($F$2:$F$43),ROW()+ROWS($F$2:$F$43))),ROW()-ROW($G$2:$G$43)+1),COLUMN($F$2:$F$43),4)))</f>
        <v/>
      </c>
      <c r="N27" s="223" t="str">
        <f t="array" aca="1" ref="N27" ca="1">IF(ROW()-ROW($H$2:$H$43)+1&gt;ROWS($G$2:$G$43)-COUNTBLANK($G$2:$G$43),"",INDIRECT(ADDRESS(SMALL((IF($G$2:$G$43&lt;&gt;"",ROW($G$2:$G$43),ROW()+ROWS($G$2:$G$43))),ROW()-ROW($H$2:$H$43)+1),COLUMN($G$2:$G$43),4)))</f>
        <v/>
      </c>
      <c r="O27" s="223" t="str">
        <f t="array" aca="1" ref="O27" ca="1">IF(ROW()-ROW($I$2:$I$43)+1&gt;ROWS($H$2:$H$43)-COUNTBLANK($H$2:$H$43),"",INDIRECT(ADDRESS(SMALL((IF($H$2:$H$43&lt;&gt;"",ROW($H$2:$H$43),ROW()+ROWS($H$2:$H$43))),ROW()-ROW($I$2:$I$43)+1),COLUMN($H$2:$H$43),4)))</f>
        <v/>
      </c>
      <c r="P27" s="223" t="str">
        <f t="array" aca="1" ref="P27" ca="1">IF(ROW()-ROW($J$2:$J$43)+1&gt;ROWS($I$2:$I$43)-COUNTBLANK($I$2:$I$43),"",INDIRECT(ADDRESS(SMALL((IF($I$2:$I$43&lt;&gt;"",ROW($I$2:$I$43),ROW()+ROWS($I$2:$I$43))),ROW()-ROW($J$2:$J$43)+1),COLUMN($I$2:$I$43),4)))</f>
        <v/>
      </c>
    </row>
    <row r="28" spans="1:16" ht="39" customHeight="1" thickBot="1" x14ac:dyDescent="0.3">
      <c r="D28" s="208" t="s">
        <v>428</v>
      </c>
      <c r="E28" s="333" t="str">
        <f>IF(H28="","","2020-2022")</f>
        <v/>
      </c>
      <c r="F28" s="334" t="str">
        <f>IF(H28="","","g")</f>
        <v/>
      </c>
      <c r="G28" s="335" t="str">
        <f>IF(I28="","","6")</f>
        <v/>
      </c>
      <c r="H28" s="336" t="str">
        <f>IF(OR(Matrix!G26="-----",Matrix!G26=""),"",IF(Matrix!G26="",0,IF(ROUND(Matrix!G26,4)&gt;Berechnung2!J42,Berechnung2!L42,"")))</f>
        <v/>
      </c>
      <c r="I28" s="319" t="str">
        <f>IF(H28="","",VLOOKUP(F28,Berechnung2!$I$15:$J$25,2,FALSE))</f>
        <v/>
      </c>
      <c r="J28" s="320" t="str">
        <f t="shared" si="1"/>
        <v/>
      </c>
      <c r="L28" s="223" t="str">
        <f t="array" aca="1" ref="L28" ca="1">IF(ROW()-ROW($F$2:$F$43)+1&gt;ROWS($E$2:$E$43)-COUNTBLANK($E$2:$E$43),"",INDIRECT(ADDRESS(SMALL((IF($E$2:$E$43&lt;&gt;"",ROW($E$2:$E$43),ROW()+ROWS($E$2:$E$43))),ROW()-ROW($F$2:$F$43)+1),COLUMN($E$2:$E$43),4)))</f>
        <v/>
      </c>
      <c r="M28" s="223" t="str">
        <f t="array" aca="1" ref="M28" ca="1">IF(ROW()-ROW($G$2:$G$43)+1&gt;ROWS($F$2:$F$43)-COUNTBLANK($F$2:$F$43),"",INDIRECT(ADDRESS(SMALL((IF($F$2:$F$43&lt;&gt;"",ROW($F$2:$F$43),ROW()+ROWS($F$2:$F$43))),ROW()-ROW($G$2:$G$43)+1),COLUMN($F$2:$F$43),4)))</f>
        <v/>
      </c>
      <c r="N28" s="223" t="str">
        <f t="array" aca="1" ref="N28" ca="1">IF(ROW()-ROW($H$2:$H$43)+1&gt;ROWS($G$2:$G$43)-COUNTBLANK($G$2:$G$43),"",INDIRECT(ADDRESS(SMALL((IF($G$2:$G$43&lt;&gt;"",ROW($G$2:$G$43),ROW()+ROWS($G$2:$G$43))),ROW()-ROW($H$2:$H$43)+1),COLUMN($G$2:$G$43),4)))</f>
        <v/>
      </c>
      <c r="O28" s="223" t="str">
        <f t="array" aca="1" ref="O28" ca="1">IF(ROW()-ROW($I$2:$I$43)+1&gt;ROWS($H$2:$H$43)-COUNTBLANK($H$2:$H$43),"",INDIRECT(ADDRESS(SMALL((IF($H$2:$H$43&lt;&gt;"",ROW($H$2:$H$43),ROW()+ROWS($H$2:$H$43))),ROW()-ROW($I$2:$I$43)+1),COLUMN($H$2:$H$43),4)))</f>
        <v/>
      </c>
      <c r="P28" s="223" t="str">
        <f t="array" aca="1" ref="P28" ca="1">IF(ROW()-ROW($J$2:$J$43)+1&gt;ROWS($I$2:$I$43)-COUNTBLANK($I$2:$I$43),"",INDIRECT(ADDRESS(SMALL((IF($I$2:$I$43&lt;&gt;"",ROW($I$2:$I$43),ROW()+ROWS($I$2:$I$43))),ROW()-ROW($J$2:$J$43)+1),COLUMN($I$2:$I$43),4)))</f>
        <v/>
      </c>
    </row>
    <row r="29" spans="1:16" ht="33" customHeight="1" x14ac:dyDescent="0.25">
      <c r="D29" s="207" t="s">
        <v>81</v>
      </c>
      <c r="E29" s="297"/>
      <c r="F29" s="169"/>
      <c r="G29" s="169"/>
      <c r="H29" s="213"/>
      <c r="I29" s="217"/>
      <c r="J29" s="237"/>
      <c r="L29" s="223" t="str">
        <f t="array" aca="1" ref="L29" ca="1">IF(ROW()-ROW($F$2:$F$43)+1&gt;ROWS($E$2:$E$43)-COUNTBLANK($E$2:$E$43),"",INDIRECT(ADDRESS(SMALL((IF($E$2:$E$43&lt;&gt;"",ROW($E$2:$E$43),ROW()+ROWS($E$2:$E$43))),ROW()-ROW($F$2:$F$43)+1),COLUMN($E$2:$E$43),4)))</f>
        <v/>
      </c>
      <c r="M29" s="223" t="str">
        <f t="array" aca="1" ref="M29" ca="1">IF(ROW()-ROW($G$2:$G$43)+1&gt;ROWS($F$2:$F$43)-COUNTBLANK($F$2:$F$43),"",INDIRECT(ADDRESS(SMALL((IF($F$2:$F$43&lt;&gt;"",ROW($F$2:$F$43),ROW()+ROWS($F$2:$F$43))),ROW()-ROW($G$2:$G$43)+1),COLUMN($F$2:$F$43),4)))</f>
        <v/>
      </c>
      <c r="N29" s="223" t="str">
        <f t="array" aca="1" ref="N29" ca="1">IF(ROW()-ROW($H$2:$H$43)+1&gt;ROWS($G$2:$G$43)-COUNTBLANK($G$2:$G$43),"",INDIRECT(ADDRESS(SMALL((IF($G$2:$G$43&lt;&gt;"",ROW($G$2:$G$43),ROW()+ROWS($G$2:$G$43))),ROW()-ROW($H$2:$H$43)+1),COLUMN($G$2:$G$43),4)))</f>
        <v/>
      </c>
      <c r="O29" s="223" t="str">
        <f t="array" aca="1" ref="O29" ca="1">IF(ROW()-ROW($I$2:$I$43)+1&gt;ROWS($H$2:$H$43)-COUNTBLANK($H$2:$H$43),"",INDIRECT(ADDRESS(SMALL((IF($H$2:$H$43&lt;&gt;"",ROW($H$2:$H$43),ROW()+ROWS($H$2:$H$43))),ROW()-ROW($I$2:$I$43)+1),COLUMN($H$2:$H$43),4)))</f>
        <v/>
      </c>
      <c r="P29" s="223" t="str">
        <f t="array" aca="1" ref="P29" ca="1">IF(ROW()-ROW($J$2:$J$43)+1&gt;ROWS($I$2:$I$43)-COUNTBLANK($I$2:$I$43),"",INDIRECT(ADDRESS(SMALL((IF($I$2:$I$43&lt;&gt;"",ROW($I$2:$I$43),ROW()+ROWS($I$2:$I$43))),ROW()-ROW($J$2:$J$43)+1),COLUMN($I$2:$I$43),4)))</f>
        <v/>
      </c>
    </row>
    <row r="30" spans="1:16" ht="44.25" customHeight="1" x14ac:dyDescent="0.25">
      <c r="D30" s="1037" t="s">
        <v>368</v>
      </c>
      <c r="E30" s="297"/>
      <c r="F30" s="54"/>
      <c r="G30" s="54"/>
      <c r="H30" s="204"/>
      <c r="I30" s="218"/>
      <c r="J30" s="238"/>
      <c r="L30" s="223" t="str">
        <f t="array" aca="1" ref="L30" ca="1">IF(ROW()-ROW($F$2:$F$43)+1&gt;ROWS($E$2:$E$43)-COUNTBLANK($E$2:$E$43),"",INDIRECT(ADDRESS(SMALL((IF($E$2:$E$43&lt;&gt;"",ROW($E$2:$E$43),ROW()+ROWS($E$2:$E$43))),ROW()-ROW($F$2:$F$43)+1),COLUMN($E$2:$E$43),4)))</f>
        <v/>
      </c>
      <c r="M30" s="223" t="str">
        <f t="array" aca="1" ref="M30" ca="1">IF(ROW()-ROW($G$2:$G$43)+1&gt;ROWS($F$2:$F$43)-COUNTBLANK($F$2:$F$43),"",INDIRECT(ADDRESS(SMALL((IF($F$2:$F$43&lt;&gt;"",ROW($F$2:$F$43),ROW()+ROWS($F$2:$F$43))),ROW()-ROW($G$2:$G$43)+1),COLUMN($F$2:$F$43),4)))</f>
        <v/>
      </c>
      <c r="N30" s="223" t="str">
        <f t="array" aca="1" ref="N30" ca="1">IF(ROW()-ROW($H$2:$H$43)+1&gt;ROWS($G$2:$G$43)-COUNTBLANK($G$2:$G$43),"",INDIRECT(ADDRESS(SMALL((IF($G$2:$G$43&lt;&gt;"",ROW($G$2:$G$43),ROW()+ROWS($G$2:$G$43))),ROW()-ROW($H$2:$H$43)+1),COLUMN($G$2:$G$43),4)))</f>
        <v/>
      </c>
      <c r="O30" s="223" t="str">
        <f t="array" aca="1" ref="O30" ca="1">IF(ROW()-ROW($I$2:$I$43)+1&gt;ROWS($H$2:$H$43)-COUNTBLANK($H$2:$H$43),"",INDIRECT(ADDRESS(SMALL((IF($H$2:$H$43&lt;&gt;"",ROW($H$2:$H$43),ROW()+ROWS($H$2:$H$43))),ROW()-ROW($I$2:$I$43)+1),COLUMN($H$2:$H$43),4)))</f>
        <v/>
      </c>
      <c r="P30" s="223" t="str">
        <f t="array" aca="1" ref="P30" ca="1">IF(ROW()-ROW($J$2:$J$43)+1&gt;ROWS($I$2:$I$43)-COUNTBLANK($I$2:$I$43),"",INDIRECT(ADDRESS(SMALL((IF($I$2:$I$43&lt;&gt;"",ROW($I$2:$I$43),ROW()+ROWS($I$2:$I$43))),ROW()-ROW($J$2:$J$43)+1),COLUMN($I$2:$I$43),4)))</f>
        <v/>
      </c>
    </row>
    <row r="31" spans="1:16" ht="23.1" customHeight="1" x14ac:dyDescent="0.25">
      <c r="D31" s="1037"/>
      <c r="E31" s="297" t="str">
        <f>IF(H31="","","2020")</f>
        <v/>
      </c>
      <c r="F31" s="54" t="str">
        <f>IF(H31="","","h")</f>
        <v/>
      </c>
      <c r="G31" s="54" t="str">
        <f t="shared" ref="G31:G43" si="2">IF(I31="","","6")</f>
        <v/>
      </c>
      <c r="H31" s="204" t="str">
        <f>IF(A4="relevant",IF(Matrix!G22="","",IF(AND(ROUND(Matrix!G22,4)&gt;=Berechnung2!$F$40,ROUND(Matrix!G22,4)&lt;Berechnung2!$J$40),Berechnung2!$L$40,"")),"")</f>
        <v/>
      </c>
      <c r="I31" s="218" t="str">
        <f>IF(H31="","",VLOOKUP(F31,Berechnung2!$I$15:$J$25,2,FALSE))</f>
        <v/>
      </c>
      <c r="J31" s="238" t="str">
        <f t="shared" si="1"/>
        <v/>
      </c>
      <c r="L31" s="223" t="str">
        <f t="array" aca="1" ref="L31" ca="1">IF(ROW()-ROW($F$2:$F$43)+1&gt;ROWS($E$2:$E$43)-COUNTBLANK($E$2:$E$43),"",INDIRECT(ADDRESS(SMALL((IF($E$2:$E$43&lt;&gt;"",ROW($E$2:$E$43),ROW()+ROWS($E$2:$E$43))),ROW()-ROW($F$2:$F$43)+1),COLUMN($E$2:$E$43),4)))</f>
        <v/>
      </c>
      <c r="M31" s="223" t="str">
        <f t="array" aca="1" ref="M31" ca="1">IF(ROW()-ROW($G$2:$G$43)+1&gt;ROWS($F$2:$F$43)-COUNTBLANK($F$2:$F$43),"",INDIRECT(ADDRESS(SMALL((IF($F$2:$F$43&lt;&gt;"",ROW($F$2:$F$43),ROW()+ROWS($F$2:$F$43))),ROW()-ROW($G$2:$G$43)+1),COLUMN($F$2:$F$43),4)))</f>
        <v/>
      </c>
      <c r="N31" s="223" t="str">
        <f t="array" aca="1" ref="N31" ca="1">IF(ROW()-ROW($H$2:$H$43)+1&gt;ROWS($G$2:$G$43)-COUNTBLANK($G$2:$G$43),"",INDIRECT(ADDRESS(SMALL((IF($G$2:$G$43&lt;&gt;"",ROW($G$2:$G$43),ROW()+ROWS($G$2:$G$43))),ROW()-ROW($H$2:$H$43)+1),COLUMN($G$2:$G$43),4)))</f>
        <v/>
      </c>
      <c r="O31" s="223" t="str">
        <f t="array" aca="1" ref="O31" ca="1">IF(ROW()-ROW($I$2:$I$43)+1&gt;ROWS($H$2:$H$43)-COUNTBLANK($H$2:$H$43),"",INDIRECT(ADDRESS(SMALL((IF($H$2:$H$43&lt;&gt;"",ROW($H$2:$H$43),ROW()+ROWS($H$2:$H$43))),ROW()-ROW($I$2:$I$43)+1),COLUMN($H$2:$H$43),4)))</f>
        <v/>
      </c>
      <c r="P31" s="223" t="str">
        <f t="array" aca="1" ref="P31" ca="1">IF(ROW()-ROW($J$2:$J$43)+1&gt;ROWS($I$2:$I$43)-COUNTBLANK($I$2:$I$43),"",INDIRECT(ADDRESS(SMALL((IF($I$2:$I$43&lt;&gt;"",ROW($I$2:$I$43),ROW()+ROWS($I$2:$I$43))),ROW()-ROW($J$2:$J$43)+1),COLUMN($I$2:$I$43),4)))</f>
        <v/>
      </c>
    </row>
    <row r="32" spans="1:16" ht="23.1" customHeight="1" x14ac:dyDescent="0.25">
      <c r="D32" s="1037"/>
      <c r="E32" s="297" t="str">
        <f>IF(H32="","","2021")</f>
        <v/>
      </c>
      <c r="F32" s="54" t="str">
        <f>IF(H32="","","h")</f>
        <v/>
      </c>
      <c r="G32" s="54" t="str">
        <f t="shared" si="2"/>
        <v/>
      </c>
      <c r="H32" s="204" t="str">
        <f>IF(A5="relevant",IF(Matrix!G23="","",IF(AND(ROUND(Matrix!G23,4)&gt;=Berechnung2!$F$40,ROUND(Matrix!G23,4)&lt;Berechnung2!$J$40),Berechnung2!$L$40,"")),"")</f>
        <v/>
      </c>
      <c r="I32" s="218" t="str">
        <f>IF(H32="","",VLOOKUP(F32,Berechnung2!$I$15:$J$25,2,FALSE))</f>
        <v/>
      </c>
      <c r="J32" s="238" t="str">
        <f t="shared" si="1"/>
        <v/>
      </c>
      <c r="L32" s="223" t="str">
        <f t="array" aca="1" ref="L32" ca="1">IF(ROW()-ROW($F$2:$F$43)+1&gt;ROWS($E$2:$E$43)-COUNTBLANK($E$2:$E$43),"",INDIRECT(ADDRESS(SMALL((IF($E$2:$E$43&lt;&gt;"",ROW($E$2:$E$43),ROW()+ROWS($E$2:$E$43))),ROW()-ROW($F$2:$F$43)+1),COLUMN($E$2:$E$43),4)))</f>
        <v/>
      </c>
      <c r="M32" s="223" t="str">
        <f t="array" aca="1" ref="M32" ca="1">IF(ROW()-ROW($G$2:$G$43)+1&gt;ROWS($F$2:$F$43)-COUNTBLANK($F$2:$F$43),"",INDIRECT(ADDRESS(SMALL((IF($F$2:$F$43&lt;&gt;"",ROW($F$2:$F$43),ROW()+ROWS($F$2:$F$43))),ROW()-ROW($G$2:$G$43)+1),COLUMN($F$2:$F$43),4)))</f>
        <v/>
      </c>
      <c r="N32" s="223" t="str">
        <f t="array" aca="1" ref="N32" ca="1">IF(ROW()-ROW($H$2:$H$43)+1&gt;ROWS($G$2:$G$43)-COUNTBLANK($G$2:$G$43),"",INDIRECT(ADDRESS(SMALL((IF($G$2:$G$43&lt;&gt;"",ROW($G$2:$G$43),ROW()+ROWS($G$2:$G$43))),ROW()-ROW($H$2:$H$43)+1),COLUMN($G$2:$G$43),4)))</f>
        <v/>
      </c>
      <c r="O32" s="223" t="str">
        <f t="array" aca="1" ref="O32" ca="1">IF(ROW()-ROW($I$2:$I$43)+1&gt;ROWS($H$2:$H$43)-COUNTBLANK($H$2:$H$43),"",INDIRECT(ADDRESS(SMALL((IF($H$2:$H$43&lt;&gt;"",ROW($H$2:$H$43),ROW()+ROWS($H$2:$H$43))),ROW()-ROW($I$2:$I$43)+1),COLUMN($H$2:$H$43),4)))</f>
        <v/>
      </c>
      <c r="P32" s="223" t="str">
        <f t="array" aca="1" ref="P32" ca="1">IF(ROW()-ROW($J$2:$J$43)+1&gt;ROWS($I$2:$I$43)-COUNTBLANK($I$2:$I$43),"",INDIRECT(ADDRESS(SMALL((IF($I$2:$I$43&lt;&gt;"",ROW($I$2:$I$43),ROW()+ROWS($I$2:$I$43))),ROW()-ROW($J$2:$J$43)+1),COLUMN($I$2:$I$43),4)))</f>
        <v/>
      </c>
    </row>
    <row r="33" spans="4:16" ht="23.1" customHeight="1" thickBot="1" x14ac:dyDescent="0.3">
      <c r="D33" s="209" t="s">
        <v>429</v>
      </c>
      <c r="E33" s="298" t="str">
        <f>IF(H33="","","2022")</f>
        <v/>
      </c>
      <c r="F33" s="225" t="str">
        <f>IF(H33="","","h")</f>
        <v/>
      </c>
      <c r="G33" s="225" t="str">
        <f t="shared" si="2"/>
        <v/>
      </c>
      <c r="H33" s="215" t="str">
        <f>IF(A6="relevant",IF(Matrix!G24="","",IF(AND(ROUND(Matrix!G24,4)&gt;=Berechnung2!$F$40,ROUND(Matrix!G24,4)&lt;Berechnung2!$J$40),Berechnung2!$L$40,"")),"")</f>
        <v/>
      </c>
      <c r="I33" s="219" t="str">
        <f>IF(H33="","",VLOOKUP(F33,Berechnung2!$I$15:$J$25,2,FALSE))</f>
        <v/>
      </c>
      <c r="J33" s="239" t="str">
        <f t="shared" si="1"/>
        <v/>
      </c>
      <c r="L33" s="223" t="str">
        <f t="array" aca="1" ref="L33" ca="1">IF(ROW()-ROW($F$2:$F$43)+1&gt;ROWS($E$2:$E$43)-COUNTBLANK($E$2:$E$43),"",INDIRECT(ADDRESS(SMALL((IF($E$2:$E$43&lt;&gt;"",ROW($E$2:$E$43),ROW()+ROWS($E$2:$E$43))),ROW()-ROW($F$2:$F$43)+1),COLUMN($E$2:$E$43),4)))</f>
        <v/>
      </c>
      <c r="M33" s="223" t="str">
        <f t="array" aca="1" ref="M33" ca="1">IF(ROW()-ROW($G$2:$G$43)+1&gt;ROWS($F$2:$F$43)-COUNTBLANK($F$2:$F$43),"",INDIRECT(ADDRESS(SMALL((IF($F$2:$F$43&lt;&gt;"",ROW($F$2:$F$43),ROW()+ROWS($F$2:$F$43))),ROW()-ROW($G$2:$G$43)+1),COLUMN($F$2:$F$43),4)))</f>
        <v/>
      </c>
      <c r="N33" s="223" t="str">
        <f t="array" aca="1" ref="N33" ca="1">IF(ROW()-ROW($H$2:$H$43)+1&gt;ROWS($G$2:$G$43)-COUNTBLANK($G$2:$G$43),"",INDIRECT(ADDRESS(SMALL((IF($G$2:$G$43&lt;&gt;"",ROW($G$2:$G$43),ROW()+ROWS($G$2:$G$43))),ROW()-ROW($H$2:$H$43)+1),COLUMN($G$2:$G$43),4)))</f>
        <v/>
      </c>
      <c r="O33" s="223" t="str">
        <f t="array" aca="1" ref="O33" ca="1">IF(ROW()-ROW($I$2:$I$43)+1&gt;ROWS($H$2:$H$43)-COUNTBLANK($H$2:$H$43),"",INDIRECT(ADDRESS(SMALL((IF($H$2:$H$43&lt;&gt;"",ROW($H$2:$H$43),ROW()+ROWS($H$2:$H$43))),ROW()-ROW($I$2:$I$43)+1),COLUMN($H$2:$H$43),4)))</f>
        <v/>
      </c>
      <c r="P33" s="223" t="str">
        <f t="array" aca="1" ref="P33" ca="1">IF(ROW()-ROW($J$2:$J$43)+1&gt;ROWS($I$2:$I$43)-COUNTBLANK($I$2:$I$43),"",INDIRECT(ADDRESS(SMALL((IF($I$2:$I$43&lt;&gt;"",ROW($I$2:$I$43),ROW()+ROWS($I$2:$I$43))),ROW()-ROW($J$2:$J$43)+1),COLUMN($I$2:$I$43),4)))</f>
        <v/>
      </c>
    </row>
    <row r="34" spans="4:16" ht="23.1" customHeight="1" x14ac:dyDescent="0.25">
      <c r="D34" s="207" t="s">
        <v>81</v>
      </c>
      <c r="E34" s="296" t="str">
        <f>IF(H34="","","2018")</f>
        <v/>
      </c>
      <c r="F34" s="224" t="str">
        <f>IF(H34="","","i")</f>
        <v/>
      </c>
      <c r="G34" s="224" t="str">
        <f t="shared" si="2"/>
        <v/>
      </c>
      <c r="H34" s="213" t="str">
        <f>IF(A2="relevant",IF(Matrix!J20="","",IF(AND(ROUND(Matrix!J20,4)&gt;=Berechnung2!C48,ROUND(Matrix!J20,4)&lt;Berechnung2!G48),Berechnung2!L48,"")),"")</f>
        <v/>
      </c>
      <c r="I34" s="217" t="str">
        <f>IF(H34="","",VLOOKUP(F34,Berechnung2!$I$15:$J$25,2,FALSE))</f>
        <v/>
      </c>
      <c r="J34" s="237" t="str">
        <f t="shared" si="1"/>
        <v/>
      </c>
      <c r="L34" s="223" t="str">
        <f t="array" aca="1" ref="L34" ca="1">IF(ROW()-ROW($F$2:$F$43)+1&gt;ROWS($E$2:$E$43)-COUNTBLANK($E$2:$E$43),"",INDIRECT(ADDRESS(SMALL((IF($E$2:$E$43&lt;&gt;"",ROW($E$2:$E$43),ROW()+ROWS($E$2:$E$43))),ROW()-ROW($F$2:$F$43)+1),COLUMN($E$2:$E$43),4)))</f>
        <v/>
      </c>
      <c r="M34" s="223" t="str">
        <f t="array" aca="1" ref="M34" ca="1">IF(ROW()-ROW($G$2:$G$43)+1&gt;ROWS($F$2:$F$43)-COUNTBLANK($F$2:$F$43),"",INDIRECT(ADDRESS(SMALL((IF($F$2:$F$43&lt;&gt;"",ROW($F$2:$F$43),ROW()+ROWS($F$2:$F$43))),ROW()-ROW($G$2:$G$43)+1),COLUMN($F$2:$F$43),4)))</f>
        <v/>
      </c>
      <c r="N34" s="223" t="str">
        <f t="array" aca="1" ref="N34" ca="1">IF(ROW()-ROW($H$2:$H$43)+1&gt;ROWS($G$2:$G$43)-COUNTBLANK($G$2:$G$43),"",INDIRECT(ADDRESS(SMALL((IF($G$2:$G$43&lt;&gt;"",ROW($G$2:$G$43),ROW()+ROWS($G$2:$G$43))),ROW()-ROW($H$2:$H$43)+1),COLUMN($G$2:$G$43),4)))</f>
        <v/>
      </c>
      <c r="O34" s="223" t="str">
        <f t="array" aca="1" ref="O34" ca="1">IF(ROW()-ROW($I$2:$I$43)+1&gt;ROWS($H$2:$H$43)-COUNTBLANK($H$2:$H$43),"",INDIRECT(ADDRESS(SMALL((IF($H$2:$H$43&lt;&gt;"",ROW($H$2:$H$43),ROW()+ROWS($H$2:$H$43))),ROW()-ROW($I$2:$I$43)+1),COLUMN($H$2:$H$43),4)))</f>
        <v/>
      </c>
      <c r="P34" s="223" t="str">
        <f t="array" aca="1" ref="P34" ca="1">IF(ROW()-ROW($J$2:$J$43)+1&gt;ROWS($I$2:$I$43)-COUNTBLANK($I$2:$I$43),"",INDIRECT(ADDRESS(SMALL((IF($I$2:$I$43&lt;&gt;"",ROW($I$2:$I$43),ROW()+ROWS($I$2:$I$43))),ROW()-ROW($J$2:$J$43)+1),COLUMN($I$2:$I$43),4)))</f>
        <v/>
      </c>
    </row>
    <row r="35" spans="4:16" ht="23.1" customHeight="1" x14ac:dyDescent="0.25">
      <c r="D35" s="1037" t="s">
        <v>430</v>
      </c>
      <c r="E35" s="297" t="str">
        <f>IF(H35="","","2019")</f>
        <v/>
      </c>
      <c r="F35" s="54" t="str">
        <f>IF(H35="","","i")</f>
        <v/>
      </c>
      <c r="G35" s="54" t="str">
        <f t="shared" si="2"/>
        <v/>
      </c>
      <c r="H35" s="204" t="str">
        <f>IF(A3="relevant",IF(Matrix!J21="","",IF(AND(ROUND(Matrix!J21,4)&gt;=Berechnung2!C49,ROUND(Matrix!J21,4)&lt;Berechnung2!G49),Berechnung2!L49,"")),"")</f>
        <v/>
      </c>
      <c r="I35" s="218" t="str">
        <f>IF(H35="","",VLOOKUP(F35,Berechnung2!$I$15:$J$25,2,FALSE))</f>
        <v/>
      </c>
      <c r="J35" s="238" t="str">
        <f t="shared" si="1"/>
        <v/>
      </c>
      <c r="L35" s="223" t="str">
        <f t="array" aca="1" ref="L35" ca="1">IF(ROW()-ROW($F$2:$F$43)+1&gt;ROWS($E$2:$E$43)-COUNTBLANK($E$2:$E$43),"",INDIRECT(ADDRESS(SMALL((IF($E$2:$E$43&lt;&gt;"",ROW($E$2:$E$43),ROW()+ROWS($E$2:$E$43))),ROW()-ROW($F$2:$F$43)+1),COLUMN($E$2:$E$43),4)))</f>
        <v/>
      </c>
      <c r="M35" s="223" t="str">
        <f t="array" aca="1" ref="M35" ca="1">IF(ROW()-ROW($G$2:$G$43)+1&gt;ROWS($F$2:$F$43)-COUNTBLANK($F$2:$F$43),"",INDIRECT(ADDRESS(SMALL((IF($F$2:$F$43&lt;&gt;"",ROW($F$2:$F$43),ROW()+ROWS($F$2:$F$43))),ROW()-ROW($G$2:$G$43)+1),COLUMN($F$2:$F$43),4)))</f>
        <v/>
      </c>
      <c r="N35" s="223" t="str">
        <f t="array" aca="1" ref="N35" ca="1">IF(ROW()-ROW($H$2:$H$43)+1&gt;ROWS($G$2:$G$43)-COUNTBLANK($G$2:$G$43),"",INDIRECT(ADDRESS(SMALL((IF($G$2:$G$43&lt;&gt;"",ROW($G$2:$G$43),ROW()+ROWS($G$2:$G$43))),ROW()-ROW($H$2:$H$43)+1),COLUMN($G$2:$G$43),4)))</f>
        <v/>
      </c>
      <c r="O35" s="223" t="str">
        <f t="array" aca="1" ref="O35" ca="1">IF(ROW()-ROW($I$2:$I$43)+1&gt;ROWS($H$2:$H$43)-COUNTBLANK($H$2:$H$43),"",INDIRECT(ADDRESS(SMALL((IF($H$2:$H$43&lt;&gt;"",ROW($H$2:$H$43),ROW()+ROWS($H$2:$H$43))),ROW()-ROW($I$2:$I$43)+1),COLUMN($H$2:$H$43),4)))</f>
        <v/>
      </c>
      <c r="P35" s="223" t="str">
        <f t="array" aca="1" ref="P35" ca="1">IF(ROW()-ROW($J$2:$J$43)+1&gt;ROWS($I$2:$I$43)-COUNTBLANK($I$2:$I$43),"",INDIRECT(ADDRESS(SMALL((IF($I$2:$I$43&lt;&gt;"",ROW($I$2:$I$43),ROW()+ROWS($I$2:$I$43))),ROW()-ROW($J$2:$J$43)+1),COLUMN($I$2:$I$43),4)))</f>
        <v/>
      </c>
    </row>
    <row r="36" spans="4:16" ht="23.1" customHeight="1" x14ac:dyDescent="0.25">
      <c r="D36" s="1037"/>
      <c r="E36" s="297" t="str">
        <f>IF(H36="","","2020")</f>
        <v/>
      </c>
      <c r="F36" s="54" t="str">
        <f>IF(H36="","","i")</f>
        <v/>
      </c>
      <c r="G36" s="54" t="str">
        <f t="shared" si="2"/>
        <v/>
      </c>
      <c r="H36" s="204" t="str">
        <f>IF(A4="relevant",IF(Matrix!J22="","",IF(AND(ROUND(Matrix!J22,4)&gt;=Berechnung2!C50,ROUND(Matrix!J22,4)&lt;Berechnung2!G50),Berechnung2!L50,"")),"")</f>
        <v/>
      </c>
      <c r="I36" s="218" t="str">
        <f>IF(H36="","",VLOOKUP(F36,Berechnung2!$I$15:$J$25,2,FALSE))</f>
        <v/>
      </c>
      <c r="J36" s="238" t="str">
        <f t="shared" si="1"/>
        <v/>
      </c>
      <c r="L36" s="223" t="str">
        <f t="array" aca="1" ref="L36" ca="1">IF(ROW()-ROW($F$2:$F$43)+1&gt;ROWS($E$2:$E$43)-COUNTBLANK($E$2:$E$43),"",INDIRECT(ADDRESS(SMALL((IF($E$2:$E$43&lt;&gt;"",ROW($E$2:$E$43),ROW()+ROWS($E$2:$E$43))),ROW()-ROW($F$2:$F$43)+1),COLUMN($E$2:$E$43),4)))</f>
        <v/>
      </c>
      <c r="M36" s="223" t="str">
        <f t="array" aca="1" ref="M36" ca="1">IF(ROW()-ROW($G$2:$G$43)+1&gt;ROWS($F$2:$F$43)-COUNTBLANK($F$2:$F$43),"",INDIRECT(ADDRESS(SMALL((IF($F$2:$F$43&lt;&gt;"",ROW($F$2:$F$43),ROW()+ROWS($F$2:$F$43))),ROW()-ROW($G$2:$G$43)+1),COLUMN($F$2:$F$43),4)))</f>
        <v/>
      </c>
      <c r="N36" s="223" t="str">
        <f t="array" aca="1" ref="N36" ca="1">IF(ROW()-ROW($H$2:$H$43)+1&gt;ROWS($G$2:$G$43)-COUNTBLANK($G$2:$G$43),"",INDIRECT(ADDRESS(SMALL((IF($G$2:$G$43&lt;&gt;"",ROW($G$2:$G$43),ROW()+ROWS($G$2:$G$43))),ROW()-ROW($H$2:$H$43)+1),COLUMN($G$2:$G$43),4)))</f>
        <v/>
      </c>
      <c r="O36" s="223" t="str">
        <f t="array" aca="1" ref="O36" ca="1">IF(ROW()-ROW($I$2:$I$43)+1&gt;ROWS($H$2:$H$43)-COUNTBLANK($H$2:$H$43),"",INDIRECT(ADDRESS(SMALL((IF($H$2:$H$43&lt;&gt;"",ROW($H$2:$H$43),ROW()+ROWS($H$2:$H$43))),ROW()-ROW($I$2:$I$43)+1),COLUMN($H$2:$H$43),4)))</f>
        <v/>
      </c>
      <c r="P36" s="223" t="str">
        <f t="array" aca="1" ref="P36" ca="1">IF(ROW()-ROW($J$2:$J$43)+1&gt;ROWS($I$2:$I$43)-COUNTBLANK($I$2:$I$43),"",INDIRECT(ADDRESS(SMALL((IF($I$2:$I$43&lt;&gt;"",ROW($I$2:$I$43),ROW()+ROWS($I$2:$I$43))),ROW()-ROW($J$2:$J$43)+1),COLUMN($I$2:$I$43),4)))</f>
        <v/>
      </c>
    </row>
    <row r="37" spans="4:16" ht="23.1" customHeight="1" x14ac:dyDescent="0.25">
      <c r="D37" s="1037"/>
      <c r="E37" s="297" t="str">
        <f>IF(H37="","","2021")</f>
        <v/>
      </c>
      <c r="F37" s="54" t="str">
        <f>IF(H37="","","i")</f>
        <v/>
      </c>
      <c r="G37" s="54" t="str">
        <f t="shared" si="2"/>
        <v/>
      </c>
      <c r="H37" s="204" t="str">
        <f>IF(A5="relevant",IF(Matrix!J23="","",IF(AND(ROUND(Matrix!J23,4)&gt;=Berechnung2!C51,ROUND(Matrix!J23,4)&lt;Berechnung2!G51),Berechnung2!L51,"")),"")</f>
        <v/>
      </c>
      <c r="I37" s="218" t="str">
        <f>IF(H37="","",VLOOKUP(F37,Berechnung2!$I$15:$J$25,2,FALSE))</f>
        <v/>
      </c>
      <c r="J37" s="238" t="str">
        <f t="shared" si="1"/>
        <v/>
      </c>
      <c r="L37" s="223" t="str">
        <f t="array" aca="1" ref="L37" ca="1">IF(ROW()-ROW($F$2:$F$43)+1&gt;ROWS($E$2:$E$43)-COUNTBLANK($E$2:$E$43),"",INDIRECT(ADDRESS(SMALL((IF($E$2:$E$43&lt;&gt;"",ROW($E$2:$E$43),ROW()+ROWS($E$2:$E$43))),ROW()-ROW($F$2:$F$43)+1),COLUMN($E$2:$E$43),4)))</f>
        <v/>
      </c>
      <c r="M37" s="223" t="str">
        <f t="array" aca="1" ref="M37" ca="1">IF(ROW()-ROW($G$2:$G$43)+1&gt;ROWS($F$2:$F$43)-COUNTBLANK($F$2:$F$43),"",INDIRECT(ADDRESS(SMALL((IF($F$2:$F$43&lt;&gt;"",ROW($F$2:$F$43),ROW()+ROWS($F$2:$F$43))),ROW()-ROW($G$2:$G$43)+1),COLUMN($F$2:$F$43),4)))</f>
        <v/>
      </c>
      <c r="N37" s="223" t="str">
        <f t="array" aca="1" ref="N37" ca="1">IF(ROW()-ROW($H$2:$H$43)+1&gt;ROWS($G$2:$G$43)-COUNTBLANK($G$2:$G$43),"",INDIRECT(ADDRESS(SMALL((IF($G$2:$G$43&lt;&gt;"",ROW($G$2:$G$43),ROW()+ROWS($G$2:$G$43))),ROW()-ROW($H$2:$H$43)+1),COLUMN($G$2:$G$43),4)))</f>
        <v/>
      </c>
      <c r="O37" s="223" t="str">
        <f t="array" aca="1" ref="O37" ca="1">IF(ROW()-ROW($I$2:$I$43)+1&gt;ROWS($H$2:$H$43)-COUNTBLANK($H$2:$H$43),"",INDIRECT(ADDRESS(SMALL((IF($H$2:$H$43&lt;&gt;"",ROW($H$2:$H$43),ROW()+ROWS($H$2:$H$43))),ROW()-ROW($I$2:$I$43)+1),COLUMN($H$2:$H$43),4)))</f>
        <v/>
      </c>
      <c r="P37" s="223" t="str">
        <f t="array" aca="1" ref="P37" ca="1">IF(ROW()-ROW($J$2:$J$43)+1&gt;ROWS($I$2:$I$43)-COUNTBLANK($I$2:$I$43),"",INDIRECT(ADDRESS(SMALL((IF($I$2:$I$43&lt;&gt;"",ROW($I$2:$I$43),ROW()+ROWS($I$2:$I$43))),ROW()-ROW($J$2:$J$43)+1),COLUMN($I$2:$I$43),4)))</f>
        <v/>
      </c>
    </row>
    <row r="38" spans="4:16" ht="23.1" customHeight="1" thickBot="1" x14ac:dyDescent="0.3">
      <c r="D38" s="209" t="s">
        <v>432</v>
      </c>
      <c r="E38" s="298" t="str">
        <f>IF(H38="","","2022")</f>
        <v/>
      </c>
      <c r="F38" s="225" t="str">
        <f>IF(H38="","","i")</f>
        <v/>
      </c>
      <c r="G38" s="225" t="str">
        <f t="shared" si="2"/>
        <v/>
      </c>
      <c r="H38" s="215" t="str">
        <f>IF(A6="relevant",IF(Matrix!J24="","",IF(AND(ROUND(Matrix!J24,4)&gt;=Berechnung2!C52,ROUND(Matrix!J24,4)&lt;Berechnung2!G52),Berechnung2!L52,"")),"")</f>
        <v/>
      </c>
      <c r="I38" s="219" t="str">
        <f>IF(H38="","",VLOOKUP(F38,Berechnung2!$I$15:$J$25,2,FALSE))</f>
        <v/>
      </c>
      <c r="J38" s="239" t="str">
        <f t="shared" si="1"/>
        <v/>
      </c>
      <c r="L38" s="223" t="str">
        <f t="array" aca="1" ref="L38" ca="1">IF(ROW()-ROW($F$2:$F$43)+1&gt;ROWS($E$2:$E$43)-COUNTBLANK($E$2:$E$43),"",INDIRECT(ADDRESS(SMALL((IF($E$2:$E$43&lt;&gt;"",ROW($E$2:$E$43),ROW()+ROWS($E$2:$E$43))),ROW()-ROW($F$2:$F$43)+1),COLUMN($E$2:$E$43),4)))</f>
        <v/>
      </c>
      <c r="M38" s="223" t="str">
        <f t="array" aca="1" ref="M38" ca="1">IF(ROW()-ROW($G$2:$G$43)+1&gt;ROWS($F$2:$F$43)-COUNTBLANK($F$2:$F$43),"",INDIRECT(ADDRESS(SMALL((IF($F$2:$F$43&lt;&gt;"",ROW($F$2:$F$43),ROW()+ROWS($F$2:$F$43))),ROW()-ROW($G$2:$G$43)+1),COLUMN($F$2:$F$43),4)))</f>
        <v/>
      </c>
      <c r="N38" s="223" t="str">
        <f t="array" aca="1" ref="N38" ca="1">IF(ROW()-ROW($H$2:$H$43)+1&gt;ROWS($G$2:$G$43)-COUNTBLANK($G$2:$G$43),"",INDIRECT(ADDRESS(SMALL((IF($G$2:$G$43&lt;&gt;"",ROW($G$2:$G$43),ROW()+ROWS($G$2:$G$43))),ROW()-ROW($H$2:$H$43)+1),COLUMN($G$2:$G$43),4)))</f>
        <v/>
      </c>
      <c r="O38" s="223" t="str">
        <f t="array" aca="1" ref="O38" ca="1">IF(ROW()-ROW($I$2:$I$43)+1&gt;ROWS($H$2:$H$43)-COUNTBLANK($H$2:$H$43),"",INDIRECT(ADDRESS(SMALL((IF($H$2:$H$43&lt;&gt;"",ROW($H$2:$H$43),ROW()+ROWS($H$2:$H$43))),ROW()-ROW($I$2:$I$43)+1),COLUMN($H$2:$H$43),4)))</f>
        <v/>
      </c>
      <c r="P38" s="223" t="str">
        <f t="array" aca="1" ref="P38" ca="1">IF(ROW()-ROW($J$2:$J$43)+1&gt;ROWS($I$2:$I$43)-COUNTBLANK($I$2:$I$43),"",INDIRECT(ADDRESS(SMALL((IF($I$2:$I$43&lt;&gt;"",ROW($I$2:$I$43),ROW()+ROWS($I$2:$I$43))),ROW()-ROW($J$2:$J$43)+1),COLUMN($I$2:$I$43),4)))</f>
        <v/>
      </c>
    </row>
    <row r="39" spans="4:16" ht="23.1" customHeight="1" x14ac:dyDescent="0.25">
      <c r="D39" s="207" t="s">
        <v>81</v>
      </c>
      <c r="E39" s="296" t="str">
        <f>IF(H39="","","2018")</f>
        <v/>
      </c>
      <c r="F39" s="224" t="str">
        <f>IF(H39="","","j")</f>
        <v/>
      </c>
      <c r="G39" s="224" t="str">
        <f t="shared" si="2"/>
        <v/>
      </c>
      <c r="H39" s="213" t="str">
        <f>IF(A2="relevant",IF(Matrix!M20="","",IF(AND(ROUND(Matrix!M20,4)&gt;=Berechnung2!C55,ROUND(Matrix!M20,4)&lt;Berechnung2!G55),Berechnung2!L55,IF(ROUND(Matrix!M20,4)&gt;=Berechnung2!I55,Berechnung2!N55,""))),"")</f>
        <v/>
      </c>
      <c r="I39" s="217" t="str">
        <f>IF(H39="","",VLOOKUP(F39,Berechnung2!$I$15:$J$25,2,FALSE))</f>
        <v/>
      </c>
      <c r="J39" s="237" t="str">
        <f t="shared" si="1"/>
        <v/>
      </c>
      <c r="L39" s="223" t="str">
        <f t="array" aca="1" ref="L39" ca="1">IF(ROW()-ROW($F$2:$F$43)+1&gt;ROWS($E$2:$E$43)-COUNTBLANK($E$2:$E$43),"",INDIRECT(ADDRESS(SMALL((IF($E$2:$E$43&lt;&gt;"",ROW($E$2:$E$43),ROW()+ROWS($E$2:$E$43))),ROW()-ROW($F$2:$F$43)+1),COLUMN($E$2:$E$43),4)))</f>
        <v/>
      </c>
      <c r="M39" s="223" t="str">
        <f t="array" aca="1" ref="M39" ca="1">IF(ROW()-ROW($G$2:$G$43)+1&gt;ROWS($F$2:$F$43)-COUNTBLANK($F$2:$F$43),"",INDIRECT(ADDRESS(SMALL((IF($F$2:$F$43&lt;&gt;"",ROW($F$2:$F$43),ROW()+ROWS($F$2:$F$43))),ROW()-ROW($G$2:$G$43)+1),COLUMN($F$2:$F$43),4)))</f>
        <v/>
      </c>
      <c r="N39" s="223" t="str">
        <f t="array" aca="1" ref="N39" ca="1">IF(ROW()-ROW($H$2:$H$43)+1&gt;ROWS($G$2:$G$43)-COUNTBLANK($G$2:$G$43),"",INDIRECT(ADDRESS(SMALL((IF($G$2:$G$43&lt;&gt;"",ROW($G$2:$G$43),ROW()+ROWS($G$2:$G$43))),ROW()-ROW($H$2:$H$43)+1),COLUMN($G$2:$G$43),4)))</f>
        <v/>
      </c>
      <c r="O39" s="223" t="str">
        <f t="array" aca="1" ref="O39" ca="1">IF(ROW()-ROW($I$2:$I$43)+1&gt;ROWS($H$2:$H$43)-COUNTBLANK($H$2:$H$43),"",INDIRECT(ADDRESS(SMALL((IF($H$2:$H$43&lt;&gt;"",ROW($H$2:$H$43),ROW()+ROWS($H$2:$H$43))),ROW()-ROW($I$2:$I$43)+1),COLUMN($H$2:$H$43),4)))</f>
        <v/>
      </c>
      <c r="P39" s="223" t="str">
        <f t="array" aca="1" ref="P39" ca="1">IF(ROW()-ROW($J$2:$J$43)+1&gt;ROWS($I$2:$I$43)-COUNTBLANK($I$2:$I$43),"",INDIRECT(ADDRESS(SMALL((IF($I$2:$I$43&lt;&gt;"",ROW($I$2:$I$43),ROW()+ROWS($I$2:$I$43))),ROW()-ROW($J$2:$J$43)+1),COLUMN($I$2:$I$43),4)))</f>
        <v/>
      </c>
    </row>
    <row r="40" spans="4:16" ht="23.1" customHeight="1" x14ac:dyDescent="0.25">
      <c r="D40" s="1037" t="s">
        <v>387</v>
      </c>
      <c r="E40" s="297" t="str">
        <f>IF(H40="","","2019")</f>
        <v/>
      </c>
      <c r="F40" s="54" t="str">
        <f>IF(H40="","","j")</f>
        <v/>
      </c>
      <c r="G40" s="54" t="str">
        <f t="shared" si="2"/>
        <v/>
      </c>
      <c r="H40" s="204" t="str">
        <f>IF(A3="relevant",IF(Matrix!M21="","",IF(AND(ROUND(Matrix!M21,4)&gt;=Berechnung2!C56,ROUND(Matrix!M21,4)&lt;Berechnung2!G56),Berechnung2!L56,IF(ROUND(Matrix!M21,4)&gt;=Berechnung2!I56,Berechnung2!N56,""))),"")</f>
        <v/>
      </c>
      <c r="I40" s="218" t="str">
        <f>IF(H40="","",VLOOKUP(F40,Berechnung2!$I$15:$J$25,2,FALSE))</f>
        <v/>
      </c>
      <c r="J40" s="238" t="str">
        <f t="shared" si="1"/>
        <v/>
      </c>
      <c r="L40" s="223" t="str">
        <f t="array" aca="1" ref="L40" ca="1">IF(ROW()-ROW($F$2:$F$43)+1&gt;ROWS($E$2:$E$43)-COUNTBLANK($E$2:$E$43),"",INDIRECT(ADDRESS(SMALL((IF($E$2:$E$43&lt;&gt;"",ROW($E$2:$E$43),ROW()+ROWS($E$2:$E$43))),ROW()-ROW($F$2:$F$43)+1),COLUMN($E$2:$E$43),4)))</f>
        <v/>
      </c>
      <c r="M40" s="223" t="str">
        <f t="array" aca="1" ref="M40" ca="1">IF(ROW()-ROW($G$2:$G$43)+1&gt;ROWS($F$2:$F$43)-COUNTBLANK($F$2:$F$43),"",INDIRECT(ADDRESS(SMALL((IF($F$2:$F$43&lt;&gt;"",ROW($F$2:$F$43),ROW()+ROWS($F$2:$F$43))),ROW()-ROW($G$2:$G$43)+1),COLUMN($F$2:$F$43),4)))</f>
        <v/>
      </c>
      <c r="N40" s="223" t="str">
        <f t="array" aca="1" ref="N40" ca="1">IF(ROW()-ROW($H$2:$H$43)+1&gt;ROWS($G$2:$G$43)-COUNTBLANK($G$2:$G$43),"",INDIRECT(ADDRESS(SMALL((IF($G$2:$G$43&lt;&gt;"",ROW($G$2:$G$43),ROW()+ROWS($G$2:$G$43))),ROW()-ROW($H$2:$H$43)+1),COLUMN($G$2:$G$43),4)))</f>
        <v/>
      </c>
      <c r="O40" s="223" t="str">
        <f t="array" aca="1" ref="O40" ca="1">IF(ROW()-ROW($I$2:$I$43)+1&gt;ROWS($H$2:$H$43)-COUNTBLANK($H$2:$H$43),"",INDIRECT(ADDRESS(SMALL((IF($H$2:$H$43&lt;&gt;"",ROW($H$2:$H$43),ROW()+ROWS($H$2:$H$43))),ROW()-ROW($I$2:$I$43)+1),COLUMN($H$2:$H$43),4)))</f>
        <v/>
      </c>
      <c r="P40" s="223" t="str">
        <f t="array" aca="1" ref="P40" ca="1">IF(ROW()-ROW($J$2:$J$43)+1&gt;ROWS($I$2:$I$43)-COUNTBLANK($I$2:$I$43),"",INDIRECT(ADDRESS(SMALL((IF($I$2:$I$43&lt;&gt;"",ROW($I$2:$I$43),ROW()+ROWS($I$2:$I$43))),ROW()-ROW($J$2:$J$43)+1),COLUMN($I$2:$I$43),4)))</f>
        <v/>
      </c>
    </row>
    <row r="41" spans="4:16" ht="23.1" customHeight="1" x14ac:dyDescent="0.25">
      <c r="D41" s="1037"/>
      <c r="E41" s="297" t="str">
        <f>IF(H41="","","2020")</f>
        <v/>
      </c>
      <c r="F41" s="54" t="str">
        <f>IF(H41="","","j")</f>
        <v/>
      </c>
      <c r="G41" s="54" t="str">
        <f t="shared" si="2"/>
        <v/>
      </c>
      <c r="H41" s="204" t="str">
        <f>IF(A4="relevant",IF(Matrix!M22="","",IF(AND(ROUND(Matrix!M22,4)&gt;=Berechnung2!C57,ROUND(Matrix!M22,4)&lt;Berechnung2!G57),Berechnung2!L57,IF(ROUND(Matrix!M22,4)&gt;=Berechnung2!I57,Berechnung2!N57,""))),"")</f>
        <v/>
      </c>
      <c r="I41" s="218" t="str">
        <f>IF(H41="","",VLOOKUP(F41,Berechnung2!$I$15:$J$25,2,FALSE))</f>
        <v/>
      </c>
      <c r="J41" s="238" t="str">
        <f t="shared" si="1"/>
        <v/>
      </c>
      <c r="L41" s="223" t="str">
        <f t="array" aca="1" ref="L41" ca="1">IF(ROW()-ROW($F$2:$F$43)+1&gt;ROWS($E$2:$E$43)-COUNTBLANK($E$2:$E$43),"",INDIRECT(ADDRESS(SMALL((IF($E$2:$E$43&lt;&gt;"",ROW($E$2:$E$43),ROW()+ROWS($E$2:$E$43))),ROW()-ROW($F$2:$F$43)+1),COLUMN($E$2:$E$43),4)))</f>
        <v/>
      </c>
      <c r="M41" s="223" t="str">
        <f t="array" aca="1" ref="M41" ca="1">IF(ROW()-ROW($G$2:$G$43)+1&gt;ROWS($F$2:$F$43)-COUNTBLANK($F$2:$F$43),"",INDIRECT(ADDRESS(SMALL((IF($F$2:$F$43&lt;&gt;"",ROW($F$2:$F$43),ROW()+ROWS($F$2:$F$43))),ROW()-ROW($G$2:$G$43)+1),COLUMN($F$2:$F$43),4)))</f>
        <v/>
      </c>
      <c r="N41" s="223" t="str">
        <f t="array" aca="1" ref="N41" ca="1">IF(ROW()-ROW($H$2:$H$43)+1&gt;ROWS($G$2:$G$43)-COUNTBLANK($G$2:$G$43),"",INDIRECT(ADDRESS(SMALL((IF($G$2:$G$43&lt;&gt;"",ROW($G$2:$G$43),ROW()+ROWS($G$2:$G$43))),ROW()-ROW($H$2:$H$43)+1),COLUMN($G$2:$G$43),4)))</f>
        <v/>
      </c>
      <c r="O41" s="223" t="str">
        <f t="array" aca="1" ref="O41" ca="1">IF(ROW()-ROW($I$2:$I$43)+1&gt;ROWS($H$2:$H$43)-COUNTBLANK($H$2:$H$43),"",INDIRECT(ADDRESS(SMALL((IF($H$2:$H$43&lt;&gt;"",ROW($H$2:$H$43),ROW()+ROWS($H$2:$H$43))),ROW()-ROW($I$2:$I$43)+1),COLUMN($H$2:$H$43),4)))</f>
        <v/>
      </c>
      <c r="P41" s="223" t="str">
        <f t="array" aca="1" ref="P41" ca="1">IF(ROW()-ROW($J$2:$J$43)+1&gt;ROWS($I$2:$I$43)-COUNTBLANK($I$2:$I$43),"",INDIRECT(ADDRESS(SMALL((IF($I$2:$I$43&lt;&gt;"",ROW($I$2:$I$43),ROW()+ROWS($I$2:$I$43))),ROW()-ROW($J$2:$J$43)+1),COLUMN($I$2:$I$43),4)))</f>
        <v/>
      </c>
    </row>
    <row r="42" spans="4:16" ht="23.1" customHeight="1" thickBot="1" x14ac:dyDescent="0.3">
      <c r="D42" s="209" t="s">
        <v>431</v>
      </c>
      <c r="E42" s="298" t="str">
        <f>IF(H42="","","2021")</f>
        <v/>
      </c>
      <c r="F42" s="225" t="str">
        <f>IF(H42="","","j")</f>
        <v/>
      </c>
      <c r="G42" s="225" t="str">
        <f t="shared" si="2"/>
        <v/>
      </c>
      <c r="H42" s="215" t="str">
        <f>IF(A5="relevant",IF(Matrix!M23="","",IF(AND(ROUND(Matrix!M23,4)&gt;=Berechnung2!C58,ROUND(Matrix!M23,4)&lt;Berechnung2!G58),Berechnung2!L58,IF(ROUND(Matrix!M23,4)&gt;=Berechnung2!I58,Berechnung2!N58,""))),"")</f>
        <v/>
      </c>
      <c r="I42" s="219" t="str">
        <f>IF(H42="","",VLOOKUP(F42,Berechnung2!$I$15:$J$25,2,FALSE))</f>
        <v/>
      </c>
      <c r="J42" s="239" t="str">
        <f t="shared" si="1"/>
        <v/>
      </c>
      <c r="L42" s="223" t="str">
        <f t="array" aca="1" ref="L42" ca="1">IF(ROW()-ROW($F$2:$F$43)+1&gt;ROWS($E$2:$E$43)-COUNTBLANK($E$2:$E$43),"",INDIRECT(ADDRESS(SMALL((IF($E$2:$E$43&lt;&gt;"",ROW($E$2:$E$43),ROW()+ROWS($E$2:$E$43))),ROW()-ROW($F$2:$F$43)+1),COLUMN($E$2:$E$43),4)))</f>
        <v/>
      </c>
      <c r="M42" s="223" t="str">
        <f t="array" aca="1" ref="M42" ca="1">IF(ROW()-ROW($G$2:$G$43)+1&gt;ROWS($F$2:$F$43)-COUNTBLANK($F$2:$F$43),"",INDIRECT(ADDRESS(SMALL((IF($F$2:$F$43&lt;&gt;"",ROW($F$2:$F$43),ROW()+ROWS($F$2:$F$43))),ROW()-ROW($G$2:$G$43)+1),COLUMN($F$2:$F$43),4)))</f>
        <v/>
      </c>
      <c r="N42" s="223" t="str">
        <f t="array" aca="1" ref="N42" ca="1">IF(ROW()-ROW($H$2:$H$43)+1&gt;ROWS($G$2:$G$43)-COUNTBLANK($G$2:$G$43),"",INDIRECT(ADDRESS(SMALL((IF($G$2:$G$43&lt;&gt;"",ROW($G$2:$G$43),ROW()+ROWS($G$2:$G$43))),ROW()-ROW($H$2:$H$43)+1),COLUMN($G$2:$G$43),4)))</f>
        <v/>
      </c>
      <c r="O42" s="223" t="str">
        <f t="array" aca="1" ref="O42" ca="1">IF(ROW()-ROW($I$2:$I$43)+1&gt;ROWS($H$2:$H$43)-COUNTBLANK($H$2:$H$43),"",INDIRECT(ADDRESS(SMALL((IF($H$2:$H$43&lt;&gt;"",ROW($H$2:$H$43),ROW()+ROWS($H$2:$H$43))),ROW()-ROW($I$2:$I$43)+1),COLUMN($H$2:$H$43),4)))</f>
        <v/>
      </c>
      <c r="P42" s="223" t="str">
        <f t="array" aca="1" ref="P42" ca="1">IF(ROW()-ROW($J$2:$J$43)+1&gt;ROWS($I$2:$I$43)-COUNTBLANK($I$2:$I$43),"",INDIRECT(ADDRESS(SMALL((IF($I$2:$I$43&lt;&gt;"",ROW($I$2:$I$43),ROW()+ROWS($I$2:$I$43))),ROW()-ROW($J$2:$J$43)+1),COLUMN($I$2:$I$43),4)))</f>
        <v/>
      </c>
    </row>
    <row r="43" spans="4:16" ht="37.5" customHeight="1" thickBot="1" x14ac:dyDescent="0.3">
      <c r="D43" s="208" t="s">
        <v>443</v>
      </c>
      <c r="E43" s="299" t="str">
        <f>IF(H43="","","2022")</f>
        <v/>
      </c>
      <c r="F43" s="226" t="str">
        <f>IF(H43="","","k")</f>
        <v/>
      </c>
      <c r="G43" s="226" t="str">
        <f t="shared" si="2"/>
        <v/>
      </c>
      <c r="H43" s="216" t="str">
        <f>IF(A6="relevant",IF(Matrix!M24="","",IF(AND(ROUND(Matrix!M24,4)&gt;=Berechnung2!C59,ROUND(Matrix!M24,4)&lt;Berechnung2!G59),Berechnung2!L59,IF(ROUND(Matrix!M24,4)&gt;Berechnung2!I59,Berechnung2!N59,""))),"")</f>
        <v/>
      </c>
      <c r="I43" s="220" t="str">
        <f>IF(H43="","",VLOOKUP(F43,Berechnung2!$I$15:$J$25,2,FALSE))</f>
        <v/>
      </c>
      <c r="J43" s="240" t="str">
        <f t="shared" si="1"/>
        <v/>
      </c>
      <c r="L43" s="223" t="str">
        <f t="array" aca="1" ref="L43" ca="1">IF(ROW()-ROW($F$2:$F$43)+1&gt;ROWS($E$2:$E$43)-COUNTBLANK($E$2:$E$43),"",INDIRECT(ADDRESS(SMALL((IF($E$2:$E$43&lt;&gt;"",ROW($E$2:$E$43),ROW()+ROWS($E$2:$E$43))),ROW()-ROW($F$2:$F$43)+1),COLUMN($E$2:$E$43),4)))</f>
        <v/>
      </c>
      <c r="M43" s="223" t="str">
        <f t="array" aca="1" ref="M43" ca="1">IF(ROW()-ROW($G$2:$G$43)+1&gt;ROWS($F$2:$F$43)-COUNTBLANK($F$2:$F$43),"",INDIRECT(ADDRESS(SMALL((IF($F$2:$F$43&lt;&gt;"",ROW($F$2:$F$43),ROW()+ROWS($F$2:$F$43))),ROW()-ROW($G$2:$G$43)+1),COLUMN($F$2:$F$43),4)))</f>
        <v/>
      </c>
      <c r="N43" s="223" t="str">
        <f t="array" aca="1" ref="N43" ca="1">IF(ROW()-ROW($H$2:$H$43)+1&gt;ROWS($G$2:$G$43)-COUNTBLANK($G$2:$G$43),"",INDIRECT(ADDRESS(SMALL((IF($G$2:$G$43&lt;&gt;"",ROW($G$2:$G$43),ROW()+ROWS($G$2:$G$43))),ROW()-ROW($H$2:$H$43)+1),COLUMN($G$2:$G$43),4)))</f>
        <v/>
      </c>
      <c r="O43" s="223" t="str">
        <f t="array" aca="1" ref="O43" ca="1">IF(ROW()-ROW($I$2:$I$43)+1&gt;ROWS($H$2:$H$43)-COUNTBLANK($H$2:$H$43),"",INDIRECT(ADDRESS(SMALL((IF($H$2:$H$43&lt;&gt;"",ROW($H$2:$H$43),ROW()+ROWS($H$2:$H$43))),ROW()-ROW($I$2:$I$43)+1),COLUMN($H$2:$H$43),4)))</f>
        <v/>
      </c>
      <c r="P43" s="223" t="str">
        <f t="array" aca="1" ref="P43" ca="1">IF(ROW()-ROW($J$2:$J$43)+1&gt;ROWS($I$2:$I$43)-COUNTBLANK($I$2:$I$43),"",INDIRECT(ADDRESS(SMALL((IF($I$2:$I$43&lt;&gt;"",ROW($I$2:$I$43),ROW()+ROWS($I$2:$I$43))),ROW()-ROW($J$2:$J$43)+1),COLUMN($I$2:$I$43),4)))</f>
        <v/>
      </c>
    </row>
    <row r="45" spans="4:16" x14ac:dyDescent="0.25">
      <c r="I45" s="230" t="s">
        <v>102</v>
      </c>
      <c r="J45" s="233">
        <f>IF(SUM(J2:J6)=0,0,SUM(J2:J6))</f>
        <v>0</v>
      </c>
    </row>
    <row r="46" spans="4:16" x14ac:dyDescent="0.25">
      <c r="I46" s="229" t="s">
        <v>100</v>
      </c>
      <c r="J46" s="233">
        <f>IF(SUM(J7:J21)=0,0,SUM(J7:J21))</f>
        <v>0</v>
      </c>
    </row>
    <row r="47" spans="4:16" x14ac:dyDescent="0.25">
      <c r="I47" s="228" t="s">
        <v>81</v>
      </c>
      <c r="J47" s="232">
        <f>IF(SUM(J23:J43)=0,0,SUM(J23:J43))</f>
        <v>0</v>
      </c>
    </row>
    <row r="48" spans="4:16" x14ac:dyDescent="0.25">
      <c r="I48" s="227" t="s">
        <v>11</v>
      </c>
      <c r="J48" s="231">
        <f>IF(J22="",0,J22)</f>
        <v>0</v>
      </c>
    </row>
  </sheetData>
  <mergeCells count="9">
    <mergeCell ref="D40:D41"/>
    <mergeCell ref="D8:D10"/>
    <mergeCell ref="D13:D15"/>
    <mergeCell ref="D18:D20"/>
    <mergeCell ref="A23:A27"/>
    <mergeCell ref="D3:D5"/>
    <mergeCell ref="D24:D26"/>
    <mergeCell ref="D30:D32"/>
    <mergeCell ref="D35:D37"/>
  </mergeCells>
  <conditionalFormatting sqref="B2:B6">
    <cfRule type="expression" dxfId="48" priority="17" stopIfTrue="1">
      <formula>OR($A2="EZ",$A2="nicht relevant")</formula>
    </cfRule>
  </conditionalFormatting>
  <conditionalFormatting sqref="D22">
    <cfRule type="expression" dxfId="47" priority="2847">
      <formula>$D22="EZ"</formula>
    </cfRule>
    <cfRule type="expression" dxfId="46" priority="2848">
      <formula>$D22="nicht relevant"</formula>
    </cfRule>
  </conditionalFormatting>
  <conditionalFormatting sqref="D28">
    <cfRule type="expression" dxfId="45" priority="20">
      <formula>#REF!="EZ"</formula>
    </cfRule>
    <cfRule type="expression" dxfId="44" priority="21">
      <formula>#REF!="nicht relevant"</formula>
    </cfRule>
  </conditionalFormatting>
  <conditionalFormatting sqref="D43">
    <cfRule type="expression" dxfId="43" priority="18">
      <formula>#REF!="EZ"</formula>
    </cfRule>
    <cfRule type="expression" dxfId="42" priority="19">
      <formula>#REF!="nicht relevant"</formula>
    </cfRule>
  </conditionalFormatting>
  <conditionalFormatting sqref="E7">
    <cfRule type="expression" dxfId="41" priority="2898" stopIfTrue="1">
      <formula>OR(#REF!="EZ",#REF!="nicht relevant")</formula>
    </cfRule>
  </conditionalFormatting>
  <conditionalFormatting sqref="E8:E21">
    <cfRule type="expression" dxfId="40" priority="5" stopIfTrue="1">
      <formula>OR($A7="EZ",$A7="nicht relevant")</formula>
    </cfRule>
  </conditionalFormatting>
  <conditionalFormatting sqref="E23:E27">
    <cfRule type="expression" dxfId="39" priority="4" stopIfTrue="1">
      <formula>OR($A22="EZ",$A22="nicht relevant")</formula>
    </cfRule>
  </conditionalFormatting>
  <conditionalFormatting sqref="E29:E42">
    <cfRule type="expression" dxfId="38" priority="1" stopIfTrue="1">
      <formula>OR($A28="EZ",$A28="nicht relevant")</formula>
    </cfRule>
  </conditionalFormatting>
  <conditionalFormatting sqref="E2:J6">
    <cfRule type="expression" dxfId="37" priority="16" stopIfTrue="1">
      <formula>OR($A2="EZ",$A2="nicht relevant")</formula>
    </cfRule>
  </conditionalFormatting>
  <conditionalFormatting sqref="E7:J11">
    <cfRule type="expression" dxfId="36" priority="15" stopIfTrue="1">
      <formula>OR($A2="EZ",$A2="nicht relevant")</formula>
    </cfRule>
  </conditionalFormatting>
  <conditionalFormatting sqref="E12:J16">
    <cfRule type="expression" dxfId="35" priority="14" stopIfTrue="1">
      <formula>OR($A2="EZ",$A2="nicht relevant")</formula>
    </cfRule>
  </conditionalFormatting>
  <conditionalFormatting sqref="E17:J21">
    <cfRule type="expression" dxfId="34" priority="13" stopIfTrue="1">
      <formula>OR($A2="EZ",$A2="nicht relevant")</formula>
    </cfRule>
  </conditionalFormatting>
  <conditionalFormatting sqref="E23:J27">
    <cfRule type="expression" dxfId="33" priority="11" stopIfTrue="1">
      <formula>OR($A2="EZ",$A2="nicht relevant")</formula>
    </cfRule>
  </conditionalFormatting>
  <conditionalFormatting sqref="E29:J33">
    <cfRule type="expression" dxfId="32" priority="10" stopIfTrue="1">
      <formula>OR($A2="EZ",$A2="nicht relevant")</formula>
    </cfRule>
  </conditionalFormatting>
  <conditionalFormatting sqref="E34:J38">
    <cfRule type="expression" dxfId="31" priority="9" stopIfTrue="1">
      <formula>OR($A2="EZ",$A2="nicht relevant")</formula>
    </cfRule>
  </conditionalFormatting>
  <conditionalFormatting sqref="E39:J42">
    <cfRule type="expression" dxfId="30" priority="8" stopIfTrue="1">
      <formula>OR($A2="EZ",$A2="nicht relevant")</formula>
    </cfRule>
  </conditionalFormatting>
  <conditionalFormatting sqref="H28">
    <cfRule type="expression" dxfId="29" priority="2857">
      <formula>#REF!="EZ"</formula>
    </cfRule>
    <cfRule type="expression" dxfId="28" priority="2858">
      <formula>#REF!="nicht relevant"</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0"/>
  <dimension ref="A1:D43"/>
  <sheetViews>
    <sheetView workbookViewId="0">
      <selection activeCell="A43" sqref="A43"/>
    </sheetView>
  </sheetViews>
  <sheetFormatPr defaultColWidth="11.42578125" defaultRowHeight="12" x14ac:dyDescent="0.2"/>
  <cols>
    <col min="1" max="1" width="27.140625" style="222" customWidth="1"/>
    <col min="2" max="2" width="20.42578125" style="222" customWidth="1"/>
    <col min="3" max="3" width="56" style="221" customWidth="1"/>
    <col min="4" max="4" width="78.7109375" style="221" customWidth="1"/>
    <col min="5" max="16384" width="11.42578125" style="155"/>
  </cols>
  <sheetData>
    <row r="1" spans="1:4" ht="24" x14ac:dyDescent="0.2">
      <c r="A1" s="235" t="s">
        <v>129</v>
      </c>
      <c r="B1" s="236" t="s">
        <v>419</v>
      </c>
      <c r="C1" s="236" t="s">
        <v>62</v>
      </c>
      <c r="D1" s="235" t="s">
        <v>394</v>
      </c>
    </row>
    <row r="2" spans="1:4" x14ac:dyDescent="0.2">
      <c r="A2" s="222" t="str">
        <f ca="1">Berechnung3!L2</f>
        <v/>
      </c>
      <c r="B2" s="222" t="str">
        <f ca="1">Berechnung3!N2</f>
        <v/>
      </c>
      <c r="C2" s="221" t="str">
        <f ca="1">Berechnung3!O2</f>
        <v/>
      </c>
      <c r="D2" s="221" t="str">
        <f ca="1">Berechnung3!P2</f>
        <v/>
      </c>
    </row>
    <row r="3" spans="1:4" x14ac:dyDescent="0.2">
      <c r="A3" s="222" t="str">
        <f ca="1">Berechnung3!L3</f>
        <v/>
      </c>
      <c r="B3" s="222" t="str">
        <f ca="1">Berechnung3!N3</f>
        <v/>
      </c>
      <c r="C3" s="221" t="str">
        <f ca="1">Berechnung3!O3</f>
        <v/>
      </c>
      <c r="D3" s="221" t="str">
        <f ca="1">Berechnung3!P3</f>
        <v/>
      </c>
    </row>
    <row r="4" spans="1:4" x14ac:dyDescent="0.2">
      <c r="A4" s="222" t="str">
        <f ca="1">Berechnung3!L4</f>
        <v/>
      </c>
      <c r="B4" s="222" t="str">
        <f ca="1">Berechnung3!N4</f>
        <v/>
      </c>
      <c r="C4" s="221" t="str">
        <f ca="1">Berechnung3!O4</f>
        <v/>
      </c>
      <c r="D4" s="221" t="str">
        <f ca="1">Berechnung3!P4</f>
        <v/>
      </c>
    </row>
    <row r="5" spans="1:4" x14ac:dyDescent="0.2">
      <c r="A5" s="222" t="str">
        <f ca="1">Berechnung3!L5</f>
        <v/>
      </c>
      <c r="B5" s="222" t="str">
        <f ca="1">Berechnung3!N5</f>
        <v/>
      </c>
      <c r="C5" s="221" t="str">
        <f ca="1">Berechnung3!O5</f>
        <v/>
      </c>
      <c r="D5" s="221" t="str">
        <f ca="1">Berechnung3!P5</f>
        <v/>
      </c>
    </row>
    <row r="6" spans="1:4" x14ac:dyDescent="0.2">
      <c r="A6" s="222" t="str">
        <f ca="1">Berechnung3!L6</f>
        <v/>
      </c>
      <c r="B6" s="222" t="str">
        <f ca="1">Berechnung3!N6</f>
        <v/>
      </c>
      <c r="C6" s="221" t="str">
        <f ca="1">Berechnung3!O6</f>
        <v/>
      </c>
      <c r="D6" s="221" t="str">
        <f ca="1">Berechnung3!P6</f>
        <v/>
      </c>
    </row>
    <row r="7" spans="1:4" x14ac:dyDescent="0.2">
      <c r="A7" s="222" t="str">
        <f ca="1">Berechnung3!L7</f>
        <v/>
      </c>
      <c r="B7" s="222" t="str">
        <f ca="1">Berechnung3!N7</f>
        <v/>
      </c>
      <c r="C7" s="221" t="str">
        <f ca="1">Berechnung3!O7</f>
        <v/>
      </c>
      <c r="D7" s="221" t="str">
        <f ca="1">Berechnung3!P7</f>
        <v/>
      </c>
    </row>
    <row r="8" spans="1:4" x14ac:dyDescent="0.2">
      <c r="A8" s="222" t="str">
        <f ca="1">Berechnung3!L8</f>
        <v/>
      </c>
      <c r="B8" s="222" t="str">
        <f ca="1">Berechnung3!N8</f>
        <v/>
      </c>
      <c r="C8" s="221" t="str">
        <f ca="1">Berechnung3!O8</f>
        <v/>
      </c>
      <c r="D8" s="221" t="str">
        <f ca="1">Berechnung3!P8</f>
        <v/>
      </c>
    </row>
    <row r="9" spans="1:4" x14ac:dyDescent="0.2">
      <c r="A9" s="222" t="str">
        <f ca="1">Berechnung3!L9</f>
        <v/>
      </c>
      <c r="B9" s="222" t="str">
        <f ca="1">Berechnung3!N9</f>
        <v/>
      </c>
      <c r="C9" s="221" t="str">
        <f ca="1">Berechnung3!O9</f>
        <v/>
      </c>
      <c r="D9" s="221" t="str">
        <f ca="1">Berechnung3!P9</f>
        <v/>
      </c>
    </row>
    <row r="10" spans="1:4" x14ac:dyDescent="0.2">
      <c r="A10" s="222" t="str">
        <f ca="1">Berechnung3!L10</f>
        <v/>
      </c>
      <c r="B10" s="222" t="str">
        <f ca="1">Berechnung3!N10</f>
        <v/>
      </c>
      <c r="C10" s="221" t="str">
        <f ca="1">Berechnung3!O10</f>
        <v/>
      </c>
      <c r="D10" s="221" t="str">
        <f ca="1">Berechnung3!P10</f>
        <v/>
      </c>
    </row>
    <row r="11" spans="1:4" x14ac:dyDescent="0.2">
      <c r="A11" s="222" t="str">
        <f ca="1">Berechnung3!L11</f>
        <v/>
      </c>
      <c r="B11" s="222" t="str">
        <f ca="1">Berechnung3!N11</f>
        <v/>
      </c>
      <c r="C11" s="221" t="str">
        <f ca="1">Berechnung3!O11</f>
        <v/>
      </c>
      <c r="D11" s="221" t="str">
        <f ca="1">Berechnung3!P11</f>
        <v/>
      </c>
    </row>
    <row r="12" spans="1:4" x14ac:dyDescent="0.2">
      <c r="A12" s="222" t="str">
        <f ca="1">Berechnung3!L12</f>
        <v/>
      </c>
      <c r="B12" s="222" t="str">
        <f ca="1">Berechnung3!N12</f>
        <v/>
      </c>
      <c r="C12" s="221" t="str">
        <f ca="1">Berechnung3!O12</f>
        <v/>
      </c>
      <c r="D12" s="221" t="str">
        <f ca="1">Berechnung3!P12</f>
        <v/>
      </c>
    </row>
    <row r="13" spans="1:4" x14ac:dyDescent="0.2">
      <c r="A13" s="222" t="str">
        <f ca="1">Berechnung3!L13</f>
        <v/>
      </c>
      <c r="B13" s="222" t="str">
        <f ca="1">Berechnung3!N13</f>
        <v/>
      </c>
      <c r="C13" s="221" t="str">
        <f ca="1">Berechnung3!O13</f>
        <v/>
      </c>
      <c r="D13" s="221" t="str">
        <f ca="1">Berechnung3!P13</f>
        <v/>
      </c>
    </row>
    <row r="14" spans="1:4" x14ac:dyDescent="0.2">
      <c r="A14" s="222" t="str">
        <f ca="1">Berechnung3!L14</f>
        <v/>
      </c>
      <c r="B14" s="222" t="str">
        <f ca="1">Berechnung3!N14</f>
        <v/>
      </c>
      <c r="C14" s="221" t="str">
        <f ca="1">Berechnung3!O14</f>
        <v/>
      </c>
      <c r="D14" s="221" t="str">
        <f ca="1">Berechnung3!P14</f>
        <v/>
      </c>
    </row>
    <row r="15" spans="1:4" x14ac:dyDescent="0.2">
      <c r="A15" s="222" t="str">
        <f ca="1">Berechnung3!L15</f>
        <v/>
      </c>
      <c r="B15" s="222" t="str">
        <f ca="1">Berechnung3!N15</f>
        <v/>
      </c>
      <c r="C15" s="221" t="str">
        <f ca="1">Berechnung3!O15</f>
        <v/>
      </c>
      <c r="D15" s="221" t="str">
        <f ca="1">Berechnung3!P15</f>
        <v/>
      </c>
    </row>
    <row r="16" spans="1:4" x14ac:dyDescent="0.2">
      <c r="A16" s="222" t="str">
        <f ca="1">Berechnung3!L16</f>
        <v/>
      </c>
      <c r="B16" s="222" t="str">
        <f ca="1">Berechnung3!N16</f>
        <v/>
      </c>
      <c r="C16" s="221" t="str">
        <f ca="1">Berechnung3!O16</f>
        <v/>
      </c>
      <c r="D16" s="221" t="str">
        <f ca="1">Berechnung3!P16</f>
        <v/>
      </c>
    </row>
    <row r="17" spans="1:4" x14ac:dyDescent="0.2">
      <c r="A17" s="222" t="str">
        <f ca="1">Berechnung3!L17</f>
        <v/>
      </c>
      <c r="B17" s="222" t="str">
        <f ca="1">Berechnung3!N17</f>
        <v/>
      </c>
      <c r="C17" s="221" t="str">
        <f ca="1">Berechnung3!O17</f>
        <v/>
      </c>
      <c r="D17" s="221" t="str">
        <f ca="1">Berechnung3!P17</f>
        <v/>
      </c>
    </row>
    <row r="18" spans="1:4" x14ac:dyDescent="0.2">
      <c r="A18" s="222" t="str">
        <f ca="1">Berechnung3!L18</f>
        <v/>
      </c>
      <c r="B18" s="222" t="str">
        <f ca="1">Berechnung3!N18</f>
        <v/>
      </c>
      <c r="C18" s="221" t="str">
        <f ca="1">Berechnung3!O18</f>
        <v/>
      </c>
      <c r="D18" s="221" t="str">
        <f ca="1">Berechnung3!P18</f>
        <v/>
      </c>
    </row>
    <row r="19" spans="1:4" x14ac:dyDescent="0.2">
      <c r="A19" s="222" t="str">
        <f ca="1">Berechnung3!L19</f>
        <v/>
      </c>
      <c r="B19" s="222" t="str">
        <f ca="1">Berechnung3!N19</f>
        <v/>
      </c>
      <c r="C19" s="221" t="str">
        <f ca="1">Berechnung3!O19</f>
        <v/>
      </c>
      <c r="D19" s="221" t="str">
        <f ca="1">Berechnung3!P19</f>
        <v/>
      </c>
    </row>
    <row r="20" spans="1:4" x14ac:dyDescent="0.2">
      <c r="A20" s="222" t="str">
        <f ca="1">Berechnung3!L20</f>
        <v/>
      </c>
      <c r="B20" s="222" t="str">
        <f ca="1">Berechnung3!N20</f>
        <v/>
      </c>
      <c r="C20" s="221" t="str">
        <f ca="1">Berechnung3!O20</f>
        <v/>
      </c>
      <c r="D20" s="221" t="str">
        <f ca="1">Berechnung3!P20</f>
        <v/>
      </c>
    </row>
    <row r="21" spans="1:4" x14ac:dyDescent="0.2">
      <c r="A21" s="222" t="str">
        <f ca="1">Berechnung3!L21</f>
        <v/>
      </c>
      <c r="B21" s="222" t="str">
        <f ca="1">Berechnung3!N21</f>
        <v/>
      </c>
      <c r="C21" s="221" t="str">
        <f ca="1">Berechnung3!O21</f>
        <v/>
      </c>
      <c r="D21" s="221" t="str">
        <f ca="1">Berechnung3!P21</f>
        <v/>
      </c>
    </row>
    <row r="22" spans="1:4" x14ac:dyDescent="0.2">
      <c r="A22" s="222" t="str">
        <f ca="1">Berechnung3!L22</f>
        <v/>
      </c>
      <c r="B22" s="222" t="str">
        <f ca="1">Berechnung3!N22</f>
        <v/>
      </c>
      <c r="C22" s="221" t="str">
        <f ca="1">Berechnung3!O22</f>
        <v/>
      </c>
      <c r="D22" s="221" t="str">
        <f ca="1">Berechnung3!P22</f>
        <v/>
      </c>
    </row>
    <row r="23" spans="1:4" x14ac:dyDescent="0.2">
      <c r="A23" s="222" t="str">
        <f ca="1">Berechnung3!L23</f>
        <v/>
      </c>
      <c r="B23" s="222" t="str">
        <f ca="1">Berechnung3!N23</f>
        <v/>
      </c>
      <c r="C23" s="221" t="str">
        <f ca="1">Berechnung3!O23</f>
        <v/>
      </c>
      <c r="D23" s="221" t="str">
        <f ca="1">Berechnung3!P23</f>
        <v/>
      </c>
    </row>
    <row r="24" spans="1:4" x14ac:dyDescent="0.2">
      <c r="A24" s="222" t="str">
        <f ca="1">Berechnung3!L24</f>
        <v/>
      </c>
      <c r="B24" s="222" t="str">
        <f ca="1">Berechnung3!N24</f>
        <v/>
      </c>
      <c r="C24" s="221" t="str">
        <f ca="1">Berechnung3!O24</f>
        <v/>
      </c>
      <c r="D24" s="221" t="str">
        <f ca="1">Berechnung3!P24</f>
        <v/>
      </c>
    </row>
    <row r="25" spans="1:4" x14ac:dyDescent="0.2">
      <c r="A25" s="222" t="str">
        <f ca="1">Berechnung3!L25</f>
        <v/>
      </c>
      <c r="B25" s="222" t="str">
        <f ca="1">Berechnung3!N25</f>
        <v/>
      </c>
      <c r="C25" s="221" t="str">
        <f ca="1">Berechnung3!O25</f>
        <v/>
      </c>
      <c r="D25" s="221" t="str">
        <f ca="1">Berechnung3!P25</f>
        <v/>
      </c>
    </row>
    <row r="26" spans="1:4" x14ac:dyDescent="0.2">
      <c r="A26" s="222" t="str">
        <f ca="1">Berechnung3!L26</f>
        <v/>
      </c>
      <c r="B26" s="222" t="str">
        <f ca="1">Berechnung3!N26</f>
        <v/>
      </c>
      <c r="C26" s="221" t="str">
        <f ca="1">Berechnung3!O26</f>
        <v/>
      </c>
      <c r="D26" s="221" t="str">
        <f ca="1">Berechnung3!P26</f>
        <v/>
      </c>
    </row>
    <row r="27" spans="1:4" x14ac:dyDescent="0.2">
      <c r="A27" s="222" t="str">
        <f ca="1">Berechnung3!L27</f>
        <v/>
      </c>
      <c r="B27" s="222" t="str">
        <f ca="1">Berechnung3!N27</f>
        <v/>
      </c>
      <c r="C27" s="221" t="str">
        <f ca="1">Berechnung3!O27</f>
        <v/>
      </c>
      <c r="D27" s="221" t="str">
        <f ca="1">Berechnung3!P27</f>
        <v/>
      </c>
    </row>
    <row r="28" spans="1:4" x14ac:dyDescent="0.2">
      <c r="A28" s="222" t="str">
        <f ca="1">Berechnung3!L28</f>
        <v/>
      </c>
      <c r="B28" s="222" t="str">
        <f ca="1">Berechnung3!N28</f>
        <v/>
      </c>
      <c r="C28" s="221" t="str">
        <f ca="1">Berechnung3!O28</f>
        <v/>
      </c>
      <c r="D28" s="221" t="str">
        <f ca="1">Berechnung3!P28</f>
        <v/>
      </c>
    </row>
    <row r="29" spans="1:4" x14ac:dyDescent="0.2">
      <c r="A29" s="222" t="str">
        <f ca="1">Berechnung3!L29</f>
        <v/>
      </c>
      <c r="B29" s="222" t="str">
        <f ca="1">Berechnung3!N29</f>
        <v/>
      </c>
      <c r="C29" s="221" t="str">
        <f ca="1">Berechnung3!O29</f>
        <v/>
      </c>
      <c r="D29" s="221" t="str">
        <f ca="1">Berechnung3!P29</f>
        <v/>
      </c>
    </row>
    <row r="30" spans="1:4" x14ac:dyDescent="0.2">
      <c r="A30" s="222" t="str">
        <f ca="1">Berechnung3!L30</f>
        <v/>
      </c>
      <c r="B30" s="222" t="str">
        <f ca="1">Berechnung3!N30</f>
        <v/>
      </c>
      <c r="C30" s="221" t="str">
        <f ca="1">Berechnung3!O30</f>
        <v/>
      </c>
      <c r="D30" s="221" t="str">
        <f ca="1">Berechnung3!P30</f>
        <v/>
      </c>
    </row>
    <row r="31" spans="1:4" x14ac:dyDescent="0.2">
      <c r="A31" s="222" t="str">
        <f ca="1">Berechnung3!L31</f>
        <v/>
      </c>
      <c r="B31" s="222" t="str">
        <f ca="1">Berechnung3!N31</f>
        <v/>
      </c>
      <c r="C31" s="221" t="str">
        <f ca="1">Berechnung3!O31</f>
        <v/>
      </c>
      <c r="D31" s="221" t="str">
        <f ca="1">Berechnung3!P31</f>
        <v/>
      </c>
    </row>
    <row r="32" spans="1:4" x14ac:dyDescent="0.2">
      <c r="A32" s="222" t="str">
        <f ca="1">Berechnung3!L32</f>
        <v/>
      </c>
      <c r="B32" s="222" t="str">
        <f ca="1">Berechnung3!N32</f>
        <v/>
      </c>
      <c r="C32" s="221" t="str">
        <f ca="1">Berechnung3!O32</f>
        <v/>
      </c>
      <c r="D32" s="221" t="str">
        <f ca="1">Berechnung3!P32</f>
        <v/>
      </c>
    </row>
    <row r="33" spans="1:4" x14ac:dyDescent="0.2">
      <c r="A33" s="222" t="str">
        <f ca="1">Berechnung3!L33</f>
        <v/>
      </c>
      <c r="B33" s="222" t="str">
        <f ca="1">Berechnung3!N33</f>
        <v/>
      </c>
      <c r="C33" s="221" t="str">
        <f ca="1">Berechnung3!O33</f>
        <v/>
      </c>
      <c r="D33" s="221" t="str">
        <f ca="1">Berechnung3!P33</f>
        <v/>
      </c>
    </row>
    <row r="34" spans="1:4" x14ac:dyDescent="0.2">
      <c r="A34" s="222" t="str">
        <f ca="1">Berechnung3!L34</f>
        <v/>
      </c>
      <c r="B34" s="222" t="str">
        <f ca="1">Berechnung3!N34</f>
        <v/>
      </c>
      <c r="C34" s="221" t="str">
        <f ca="1">Berechnung3!O34</f>
        <v/>
      </c>
      <c r="D34" s="221" t="str">
        <f ca="1">Berechnung3!P34</f>
        <v/>
      </c>
    </row>
    <row r="35" spans="1:4" x14ac:dyDescent="0.2">
      <c r="A35" s="222" t="str">
        <f ca="1">Berechnung3!L35</f>
        <v/>
      </c>
      <c r="B35" s="222" t="str">
        <f ca="1">Berechnung3!N35</f>
        <v/>
      </c>
      <c r="C35" s="221" t="str">
        <f ca="1">Berechnung3!O35</f>
        <v/>
      </c>
      <c r="D35" s="221" t="str">
        <f ca="1">Berechnung3!P35</f>
        <v/>
      </c>
    </row>
    <row r="36" spans="1:4" x14ac:dyDescent="0.2">
      <c r="A36" s="222" t="str">
        <f ca="1">Berechnung3!L36</f>
        <v/>
      </c>
      <c r="B36" s="222" t="str">
        <f ca="1">Berechnung3!N36</f>
        <v/>
      </c>
      <c r="C36" s="221" t="str">
        <f ca="1">Berechnung3!O36</f>
        <v/>
      </c>
      <c r="D36" s="221" t="str">
        <f ca="1">Berechnung3!P36</f>
        <v/>
      </c>
    </row>
    <row r="37" spans="1:4" x14ac:dyDescent="0.2">
      <c r="A37" s="222" t="str">
        <f ca="1">Berechnung3!L37</f>
        <v/>
      </c>
      <c r="B37" s="222" t="str">
        <f ca="1">Berechnung3!N37</f>
        <v/>
      </c>
      <c r="C37" s="221" t="str">
        <f ca="1">Berechnung3!O37</f>
        <v/>
      </c>
      <c r="D37" s="221" t="str">
        <f ca="1">Berechnung3!P37</f>
        <v/>
      </c>
    </row>
    <row r="38" spans="1:4" x14ac:dyDescent="0.2">
      <c r="A38" s="222" t="str">
        <f ca="1">Berechnung3!L38</f>
        <v/>
      </c>
      <c r="B38" s="222" t="str">
        <f ca="1">Berechnung3!N38</f>
        <v/>
      </c>
      <c r="C38" s="221" t="str">
        <f ca="1">Berechnung3!O38</f>
        <v/>
      </c>
      <c r="D38" s="221" t="str">
        <f ca="1">Berechnung3!P38</f>
        <v/>
      </c>
    </row>
    <row r="39" spans="1:4" x14ac:dyDescent="0.2">
      <c r="A39" s="222" t="str">
        <f ca="1">Berechnung3!L39</f>
        <v/>
      </c>
      <c r="B39" s="222" t="str">
        <f ca="1">Berechnung3!N39</f>
        <v/>
      </c>
      <c r="C39" s="221" t="str">
        <f ca="1">Berechnung3!O39</f>
        <v/>
      </c>
      <c r="D39" s="221" t="str">
        <f ca="1">Berechnung3!P39</f>
        <v/>
      </c>
    </row>
    <row r="40" spans="1:4" x14ac:dyDescent="0.2">
      <c r="A40" s="222" t="str">
        <f ca="1">Berechnung3!L40</f>
        <v/>
      </c>
      <c r="B40" s="222" t="str">
        <f ca="1">Berechnung3!N40</f>
        <v/>
      </c>
      <c r="C40" s="221" t="str">
        <f ca="1">Berechnung3!O40</f>
        <v/>
      </c>
      <c r="D40" s="221" t="str">
        <f ca="1">Berechnung3!P40</f>
        <v/>
      </c>
    </row>
    <row r="41" spans="1:4" x14ac:dyDescent="0.2">
      <c r="A41" s="222" t="str">
        <f ca="1">Berechnung3!L41</f>
        <v/>
      </c>
      <c r="B41" s="222" t="str">
        <f ca="1">Berechnung3!N41</f>
        <v/>
      </c>
      <c r="C41" s="221" t="str">
        <f ca="1">Berechnung3!O41</f>
        <v/>
      </c>
      <c r="D41" s="221" t="str">
        <f ca="1">Berechnung3!P41</f>
        <v/>
      </c>
    </row>
    <row r="42" spans="1:4" x14ac:dyDescent="0.2">
      <c r="A42" s="222" t="str">
        <f ca="1">Berechnung3!L42</f>
        <v/>
      </c>
      <c r="B42" s="222" t="str">
        <f ca="1">Berechnung3!N42</f>
        <v/>
      </c>
      <c r="C42" s="221" t="str">
        <f ca="1">Berechnung3!O42</f>
        <v/>
      </c>
      <c r="D42" s="221" t="str">
        <f ca="1">Berechnung3!P42</f>
        <v/>
      </c>
    </row>
    <row r="43" spans="1:4" x14ac:dyDescent="0.2">
      <c r="A43" s="222" t="str">
        <f ca="1">Berechnung3!L43</f>
        <v/>
      </c>
      <c r="B43" s="222" t="str">
        <f ca="1">Berechnung3!N43</f>
        <v/>
      </c>
      <c r="C43" s="221" t="str">
        <f ca="1">Berechnung3!O43</f>
        <v/>
      </c>
      <c r="D43" s="221" t="str">
        <f ca="1">Berechnung3!P43</f>
        <v/>
      </c>
    </row>
  </sheetData>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dimension ref="B1:O24"/>
  <sheetViews>
    <sheetView showGridLines="0" zoomScaleNormal="100" zoomScaleSheetLayoutView="88" workbookViewId="0">
      <selection activeCell="D16" sqref="D16:H16"/>
    </sheetView>
  </sheetViews>
  <sheetFormatPr defaultColWidth="9" defaultRowHeight="14.25" x14ac:dyDescent="0.2"/>
  <cols>
    <col min="1" max="1" width="0.85546875" style="3" customWidth="1"/>
    <col min="2" max="2" width="14.140625" style="3" customWidth="1"/>
    <col min="3" max="3" width="29.5703125" style="3" customWidth="1"/>
    <col min="4" max="4" width="22.140625" style="3" customWidth="1"/>
    <col min="5" max="5" width="21.7109375" style="3" customWidth="1"/>
    <col min="6" max="6" width="22.140625" style="3" customWidth="1"/>
    <col min="7" max="7" width="21" style="3" customWidth="1"/>
    <col min="8" max="8" width="8" style="3" customWidth="1"/>
    <col min="9" max="183" width="11.42578125" style="3" customWidth="1"/>
    <col min="184" max="16384" width="9" style="3"/>
  </cols>
  <sheetData>
    <row r="1" spans="2:15" ht="9.9499999999999993" customHeight="1" x14ac:dyDescent="0.2">
      <c r="C1" s="28"/>
      <c r="F1" s="17"/>
    </row>
    <row r="2" spans="2:15" ht="12.95" customHeight="1" x14ac:dyDescent="0.2">
      <c r="B2" s="159" t="s">
        <v>887</v>
      </c>
      <c r="C2" s="23"/>
      <c r="D2" s="23"/>
      <c r="E2" s="23"/>
      <c r="F2" s="17"/>
      <c r="G2" s="23"/>
      <c r="H2" s="23"/>
    </row>
    <row r="3" spans="2:15" ht="15.75" x14ac:dyDescent="0.25">
      <c r="B3" s="16" t="s">
        <v>361</v>
      </c>
      <c r="F3" s="17"/>
      <c r="G3" s="18"/>
    </row>
    <row r="4" spans="2:15" x14ac:dyDescent="0.2">
      <c r="B4" s="22" t="s">
        <v>393</v>
      </c>
      <c r="K4" s="22"/>
    </row>
    <row r="5" spans="2:15" ht="6.75" customHeight="1" x14ac:dyDescent="0.2">
      <c r="E5" s="9"/>
      <c r="F5" s="9"/>
      <c r="G5" s="9"/>
      <c r="H5" s="9"/>
      <c r="I5" s="9"/>
      <c r="J5" s="9"/>
      <c r="K5" s="22"/>
    </row>
    <row r="6" spans="2:15" s="23" customFormat="1" ht="12.75" customHeight="1" x14ac:dyDescent="0.2">
      <c r="B6" s="26" t="s">
        <v>138</v>
      </c>
      <c r="C6" s="931" t="str">
        <f>IF(Basisdaten!C8=0,"",Basisdaten!C8)</f>
        <v/>
      </c>
      <c r="D6" s="932"/>
      <c r="E6" s="932"/>
      <c r="F6" s="932"/>
      <c r="G6" s="933"/>
      <c r="I6" s="22"/>
      <c r="J6" s="22"/>
      <c r="K6" s="20"/>
      <c r="L6" s="22"/>
      <c r="M6" s="22"/>
    </row>
    <row r="7" spans="2:15" s="23" customFormat="1" ht="6.95" customHeight="1" x14ac:dyDescent="0.2">
      <c r="B7" s="5"/>
      <c r="C7" s="5"/>
      <c r="D7" s="9"/>
      <c r="E7" s="9"/>
      <c r="F7" s="9"/>
      <c r="G7" s="9"/>
      <c r="H7" s="9"/>
      <c r="I7" s="9"/>
      <c r="K7" s="22"/>
      <c r="L7" s="22"/>
      <c r="M7" s="20"/>
      <c r="N7" s="22"/>
      <c r="O7" s="22"/>
    </row>
    <row r="8" spans="2:15" s="23" customFormat="1" ht="12.75" customHeight="1" x14ac:dyDescent="0.2">
      <c r="B8" s="26" t="s">
        <v>83</v>
      </c>
      <c r="C8" s="39" t="str">
        <f>IF(Basisdaten!C6=0,"",Basisdaten!C6)</f>
        <v/>
      </c>
      <c r="D8" s="154"/>
      <c r="F8" s="63" t="s">
        <v>397</v>
      </c>
      <c r="G8" s="38" t="str">
        <f>IF(Basisdaten!M12=0,"",Basisdaten!M12)</f>
        <v/>
      </c>
      <c r="I8" s="22"/>
      <c r="J8" s="22"/>
      <c r="K8" s="20"/>
      <c r="L8" s="22"/>
      <c r="M8" s="22"/>
    </row>
    <row r="9" spans="2:15" s="23" customFormat="1" ht="6" customHeight="1" x14ac:dyDescent="0.2">
      <c r="C9" s="25"/>
      <c r="D9" s="3"/>
      <c r="F9" s="3"/>
      <c r="J9" s="11"/>
      <c r="K9" s="30"/>
      <c r="L9" s="30"/>
      <c r="M9" s="30"/>
      <c r="N9" s="30"/>
      <c r="O9" s="30"/>
    </row>
    <row r="10" spans="2:15" s="48" customFormat="1" ht="18" customHeight="1" x14ac:dyDescent="0.25">
      <c r="B10" s="96" t="s">
        <v>107</v>
      </c>
    </row>
    <row r="11" spans="2:15" ht="13.5" customHeight="1" x14ac:dyDescent="0.2">
      <c r="C11" s="160" t="str">
        <f>IF(OR(C12="",C12="Matrix kann eingereicht werden"),"In Ordnung",IF(C12="die inkorrekten und unvollständigen Einträge beheben","Nicht in Ordnung"))</f>
        <v>In Ordnung</v>
      </c>
      <c r="D11" s="40" t="s">
        <v>81</v>
      </c>
      <c r="E11" s="41" t="s">
        <v>11</v>
      </c>
      <c r="F11" s="70" t="s">
        <v>100</v>
      </c>
      <c r="G11" s="70" t="s">
        <v>445</v>
      </c>
    </row>
    <row r="12" spans="2:15" ht="16.5" customHeight="1" x14ac:dyDescent="0.2">
      <c r="C12" s="69" t="str">
        <f>Berechnung2!B6</f>
        <v/>
      </c>
      <c r="D12" s="64">
        <f>Berechnung2!C6</f>
        <v>0</v>
      </c>
      <c r="E12" s="65">
        <f>Berechnung2!D6</f>
        <v>0</v>
      </c>
      <c r="F12" s="184">
        <f>Berechnung2!E6</f>
        <v>0</v>
      </c>
      <c r="G12" s="184">
        <f>Berechnung2!F6</f>
        <v>0</v>
      </c>
    </row>
    <row r="13" spans="2:15" s="23" customFormat="1" ht="10.5" customHeight="1" x14ac:dyDescent="0.2">
      <c r="C13" s="10"/>
      <c r="D13" s="10"/>
    </row>
    <row r="14" spans="2:15" ht="17.25" customHeight="1" x14ac:dyDescent="0.2">
      <c r="B14" s="1041" t="s">
        <v>129</v>
      </c>
      <c r="C14" s="1028" t="s">
        <v>62</v>
      </c>
      <c r="D14" s="1043" t="s">
        <v>394</v>
      </c>
      <c r="E14" s="1044"/>
      <c r="F14" s="1044"/>
      <c r="G14" s="1044"/>
      <c r="H14" s="1045"/>
    </row>
    <row r="15" spans="2:15" ht="9" customHeight="1" x14ac:dyDescent="0.2">
      <c r="B15" s="1042"/>
      <c r="C15" s="1042"/>
      <c r="D15" s="1044"/>
      <c r="E15" s="1044"/>
      <c r="F15" s="1044"/>
      <c r="G15" s="1044"/>
      <c r="H15" s="1045"/>
    </row>
    <row r="16" spans="2:15" ht="66" customHeight="1" x14ac:dyDescent="0.25">
      <c r="B16" s="31" t="str">
        <f>IF(ISERROR(Berechnung2!G15),"",Berechnung2!G15)</f>
        <v/>
      </c>
      <c r="C16" s="31" t="str">
        <f>IF(ISERROR(Berechnung2!H15),"",Berechnung2!H15)</f>
        <v/>
      </c>
      <c r="D16" s="1038"/>
      <c r="E16" s="1039"/>
      <c r="F16" s="1039"/>
      <c r="G16" s="1039"/>
      <c r="H16" s="1040"/>
    </row>
    <row r="17" spans="2:8" ht="66" customHeight="1" x14ac:dyDescent="0.25">
      <c r="B17" s="31" t="str">
        <f>IF(ISERROR(Berechnung2!G16),"",Berechnung2!G16)</f>
        <v/>
      </c>
      <c r="C17" s="31" t="str">
        <f>IF(ISERROR(Berechnung2!H16),"",Berechnung2!H16)</f>
        <v/>
      </c>
      <c r="D17" s="1038"/>
      <c r="E17" s="1039"/>
      <c r="F17" s="1039"/>
      <c r="G17" s="1039"/>
      <c r="H17" s="1040"/>
    </row>
    <row r="18" spans="2:8" ht="66" customHeight="1" x14ac:dyDescent="0.25">
      <c r="B18" s="31" t="str">
        <f>IF(ISERROR(Berechnung2!G17),"",Berechnung2!G17)</f>
        <v/>
      </c>
      <c r="C18" s="31" t="str">
        <f>IF(ISERROR(Berechnung2!H17),"",Berechnung2!H17)</f>
        <v/>
      </c>
      <c r="D18" s="1038"/>
      <c r="E18" s="1039"/>
      <c r="F18" s="1039"/>
      <c r="G18" s="1039"/>
      <c r="H18" s="1040"/>
    </row>
    <row r="19" spans="2:8" ht="66" customHeight="1" x14ac:dyDescent="0.25">
      <c r="B19" s="31" t="str">
        <f>IF(ISERROR(Berechnung2!G18),"",Berechnung2!G18)</f>
        <v/>
      </c>
      <c r="C19" s="31" t="str">
        <f>IF(ISERROR(Berechnung2!H18),"",Berechnung2!H18)</f>
        <v/>
      </c>
      <c r="D19" s="1038"/>
      <c r="E19" s="1039"/>
      <c r="F19" s="1039"/>
      <c r="G19" s="1039"/>
      <c r="H19" s="1040"/>
    </row>
    <row r="20" spans="2:8" ht="66" customHeight="1" x14ac:dyDescent="0.25">
      <c r="B20" s="31" t="str">
        <f>IF(ISERROR(Berechnung2!G19),"",Berechnung2!G19)</f>
        <v/>
      </c>
      <c r="C20" s="31" t="str">
        <f>IF(ISERROR(Berechnung2!H19),"",Berechnung2!H19)</f>
        <v/>
      </c>
      <c r="D20" s="1038"/>
      <c r="E20" s="1039"/>
      <c r="F20" s="1039"/>
      <c r="G20" s="1039"/>
      <c r="H20" s="1040"/>
    </row>
    <row r="21" spans="2:8" ht="66" customHeight="1" x14ac:dyDescent="0.25">
      <c r="B21" s="31" t="str">
        <f>IF(ISERROR(Berechnung2!G20),"",Berechnung2!G20)</f>
        <v/>
      </c>
      <c r="C21" s="31" t="str">
        <f>IF(ISERROR(Berechnung2!H20),"",Berechnung2!H20)</f>
        <v/>
      </c>
      <c r="D21" s="1038"/>
      <c r="E21" s="1039"/>
      <c r="F21" s="1039"/>
      <c r="G21" s="1039"/>
      <c r="H21" s="1040"/>
    </row>
    <row r="22" spans="2:8" ht="66" customHeight="1" x14ac:dyDescent="0.25">
      <c r="B22" s="31" t="str">
        <f>IF(ISERROR(Berechnung2!G21),"",Berechnung2!G21)</f>
        <v/>
      </c>
      <c r="C22" s="31" t="str">
        <f>IF(ISERROR(Berechnung2!H21),"",Berechnung2!H21)</f>
        <v/>
      </c>
      <c r="D22" s="1038"/>
      <c r="E22" s="1039"/>
      <c r="F22" s="1039"/>
      <c r="G22" s="1039"/>
      <c r="H22" s="1040"/>
    </row>
    <row r="23" spans="2:8" ht="66" customHeight="1" x14ac:dyDescent="0.25">
      <c r="B23" s="31" t="str">
        <f>IF(ISERROR(Berechnung2!G22),"",Berechnung2!G22)</f>
        <v/>
      </c>
      <c r="C23" s="31" t="str">
        <f>IF(ISERROR(Berechnung2!H22),"",Berechnung2!H22)</f>
        <v/>
      </c>
      <c r="D23" s="1038"/>
      <c r="E23" s="1039"/>
      <c r="F23" s="1039"/>
      <c r="G23" s="1039"/>
      <c r="H23" s="1040"/>
    </row>
    <row r="24" spans="2:8" ht="66" customHeight="1" x14ac:dyDescent="0.2">
      <c r="B24" s="31" t="str">
        <f>IF(ISERROR(Berechnung2!G23),"",Berechnung2!G23)</f>
        <v/>
      </c>
      <c r="C24" s="31" t="str">
        <f>IF(ISERROR(Berechnung2!H23),"",Berechnung2!H23)</f>
        <v/>
      </c>
      <c r="D24" s="1046"/>
      <c r="E24" s="1047"/>
      <c r="F24" s="1047"/>
      <c r="G24" s="1047"/>
      <c r="H24" s="1048"/>
    </row>
  </sheetData>
  <sheetProtection algorithmName="SHA-512" hashValue="LU/Ju+UbAdtG/D1oGj5y8mwa+VLngu+zomRKmwC8TkeC8G1hWxEKojCLByhkVRAkYOtxkdBfn8SCL7K+utqWCg==" saltValue="6M976+dkiwjLcWMJOrDmxw==" spinCount="100000"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13">
    <mergeCell ref="D24:H24"/>
    <mergeCell ref="D19:H19"/>
    <mergeCell ref="D20:H20"/>
    <mergeCell ref="D21:H21"/>
    <mergeCell ref="D22:H22"/>
    <mergeCell ref="D23:H23"/>
    <mergeCell ref="D18:H18"/>
    <mergeCell ref="B14:B15"/>
    <mergeCell ref="C14:C15"/>
    <mergeCell ref="C6:G6"/>
    <mergeCell ref="D14:H15"/>
    <mergeCell ref="D16:H16"/>
    <mergeCell ref="D17:H17"/>
  </mergeCells>
  <phoneticPr fontId="41" type="noConversion"/>
  <conditionalFormatting sqref="A9:XFD10 F11:G11 B11:B12 D11:E12 H11:IV12">
    <cfRule type="cellIs" dxfId="27" priority="203" operator="lessThan">
      <formula>0</formula>
    </cfRule>
  </conditionalFormatting>
  <conditionalFormatting sqref="C11">
    <cfRule type="expression" dxfId="26" priority="2" stopIfTrue="1">
      <formula>$C$11="Nicht in Ordnung"</formula>
    </cfRule>
  </conditionalFormatting>
  <conditionalFormatting sqref="C12">
    <cfRule type="expression" dxfId="25" priority="1" stopIfTrue="1">
      <formula>$C$12="die inkorrekten und unvollständigen Einträge beheben"</formula>
    </cfRule>
  </conditionalFormatting>
  <conditionalFormatting sqref="C16:C24">
    <cfRule type="expression" dxfId="24" priority="29" stopIfTrue="1">
      <formula>SEARCH("Unvollständig",$C16,1)</formula>
    </cfRule>
    <cfRule type="expression" dxfId="23" priority="49">
      <formula>SEARCH($D$11,$C16,1)</formula>
    </cfRule>
    <cfRule type="expression" dxfId="22" priority="50">
      <formula>SEARCH($E$11,$C16,1)</formula>
    </cfRule>
    <cfRule type="expression" dxfId="21" priority="51">
      <formula>SEARCH($F$11,$C16,1)</formula>
    </cfRule>
  </conditionalFormatting>
  <conditionalFormatting sqref="D16">
    <cfRule type="notContainsBlanks" dxfId="20" priority="30" stopIfTrue="1">
      <formula>LEN(TRIM(D16))&gt;0</formula>
    </cfRule>
    <cfRule type="expression" dxfId="19" priority="2451" stopIfTrue="1">
      <formula>B16&lt;&gt;""</formula>
    </cfRule>
  </conditionalFormatting>
  <conditionalFormatting sqref="D23:D24">
    <cfRule type="notContainsBlanks" dxfId="18" priority="27" stopIfTrue="1">
      <formula>LEN(TRIM(D23))&gt;0</formula>
    </cfRule>
    <cfRule type="expression" dxfId="17" priority="28" stopIfTrue="1">
      <formula>B23&lt;&gt;""</formula>
    </cfRule>
  </conditionalFormatting>
  <conditionalFormatting sqref="D17:G22">
    <cfRule type="notContainsBlanks" dxfId="16" priority="34" stopIfTrue="1">
      <formula>LEN(TRIM(D17))&gt;0</formula>
    </cfRule>
    <cfRule type="expression" dxfId="15" priority="2452" stopIfTrue="1">
      <formula>B17&lt;&gt;""</formula>
    </cfRule>
  </conditionalFormatting>
  <dataValidations count="1">
    <dataValidation type="textLength" allowBlank="1" showErrorMessage="1" errorTitle="Zeichenlänge" error="Minimal 30 Zeichen und max. 450 Zeichen." sqref="D16:H24" xr:uid="{00000000-0002-0000-1100-000000000000}">
      <formula1>30</formula1>
      <formula2>450</formula2>
    </dataValidation>
  </dataValidations>
  <pageMargins left="0.39370078740157483" right="3.937007874015748E-2" top="0.59055118110236227" bottom="0.39370078740157483" header="0.31496062992125984" footer="0.11811023622047245"/>
  <pageSetup paperSize="9" orientation="landscape"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15</vt:i4>
      </vt:variant>
    </vt:vector>
  </HeadingPairs>
  <TitlesOfParts>
    <vt:vector size="33" baseType="lpstr">
      <vt:lpstr>Basisdaten</vt:lpstr>
      <vt:lpstr>Studien</vt:lpstr>
      <vt:lpstr>HilfstabelleStudien</vt:lpstr>
      <vt:lpstr>HilfstabelleB</vt:lpstr>
      <vt:lpstr>HilfstabelleSD</vt:lpstr>
      <vt:lpstr>Datenquelle</vt:lpstr>
      <vt:lpstr>Operateure</vt:lpstr>
      <vt:lpstr>Kennzahlenbogen_(KB)</vt:lpstr>
      <vt:lpstr>HilfstabelleKB</vt:lpstr>
      <vt:lpstr>Berechnung1</vt:lpstr>
      <vt:lpstr>Datendefizite_KB</vt:lpstr>
      <vt:lpstr>Hilfstabelle Datendef KB</vt:lpstr>
      <vt:lpstr>Matrix</vt:lpstr>
      <vt:lpstr>Berechnung2</vt:lpstr>
      <vt:lpstr>HilfstabelleM</vt:lpstr>
      <vt:lpstr>Berechnung3</vt:lpstr>
      <vt:lpstr>HilfstabelleDM</vt:lpstr>
      <vt:lpstr>Datendefizite_Matrix</vt:lpstr>
      <vt:lpstr>AngabeKKR</vt:lpstr>
      <vt:lpstr>Keine_Zusammenarbeit</vt:lpstr>
      <vt:lpstr>myCategory</vt:lpstr>
      <vt:lpstr>Basisdaten!Print_Area</vt:lpstr>
      <vt:lpstr>'Kennzahlenbogen_(KB)'!Print_Area</vt:lpstr>
      <vt:lpstr>Matrix!Print_Area</vt:lpstr>
      <vt:lpstr>Operateure!Print_Area</vt:lpstr>
      <vt:lpstr>Studien!Print_Area</vt:lpstr>
      <vt:lpstr>Datendefizite_KB!Print_Titles</vt:lpstr>
      <vt:lpstr>Datendefizite_Matrix!Print_Titles</vt:lpstr>
      <vt:lpstr>'Kennzahlenbogen_(KB)'!Print_Titles</vt:lpstr>
      <vt:lpstr>Print_Titles</vt:lpstr>
      <vt:lpstr>Tumordokumentation</vt:lpstr>
      <vt:lpstr>Universitätsstatus</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OnkoZert - Roxana Rentea</cp:lastModifiedBy>
  <cp:lastPrinted>2024-11-21T11:48:23Z</cp:lastPrinted>
  <dcterms:created xsi:type="dcterms:W3CDTF">2012-04-12T09:13:43Z</dcterms:created>
  <dcterms:modified xsi:type="dcterms:W3CDTF">2025-04-09T05:06:02Z</dcterms:modified>
</cp:coreProperties>
</file>